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narvaez\Desktop\Indicadores AYUNTAMIENTO 2019\Diciembre\"/>
    </mc:Choice>
  </mc:AlternateContent>
  <bookViews>
    <workbookView xWindow="0" yWindow="0" windowWidth="28800" windowHeight="12000" tabRatio="699" firstSheet="2" activeTab="3"/>
  </bookViews>
  <sheets>
    <sheet name="Hoja2" sheetId="2" state="hidden" r:id="rId1"/>
    <sheet name="Hoja3" sheetId="3" state="hidden" r:id="rId2"/>
    <sheet name="COM" sheetId="20" r:id="rId3"/>
    <sheet name="PROT. CIV." sheetId="21" r:id="rId4"/>
    <sheet name="Part C." sheetId="22" r:id="rId5"/>
    <sheet name="CS" sheetId="23" r:id="rId6"/>
    <sheet name="DAC" sheetId="27" r:id="rId7"/>
    <sheet name="IV" sheetId="28" r:id="rId8"/>
    <sheet name="JUR" sheetId="30" r:id="rId9"/>
    <sheet name="TEC" sheetId="31" r:id="rId10"/>
    <sheet name="ADMN" sheetId="25" r:id="rId11"/>
  </sheets>
  <definedNames>
    <definedName name="_xlnm.Print_Area" localSheetId="10">ADMN!$A$1:$O$5</definedName>
    <definedName name="_xlnm.Print_Area" localSheetId="2">COM!$A$1:$O$36</definedName>
    <definedName name="_xlnm.Print_Area" localSheetId="5">CS!$A$1:$O$18</definedName>
    <definedName name="_xlnm.Print_Area" localSheetId="6">DAC!$A$1:$O$19</definedName>
    <definedName name="_xlnm.Print_Area" localSheetId="7">IV!$A$1:$O$7</definedName>
    <definedName name="_xlnm.Print_Area" localSheetId="8">JUR!$A$1:$O$86</definedName>
    <definedName name="_xlnm.Print_Area" localSheetId="4">'Part C.'!$A$1:$O$27</definedName>
    <definedName name="_xlnm.Print_Area" localSheetId="3">'PROT. CIV.'!$A$1:$O$122</definedName>
    <definedName name="_xlnm.Print_Area" localSheetId="9">TEC!$A$1:$O$20</definedName>
    <definedName name="_xlnm.Print_Titles" localSheetId="10">ADMN!$1:$4</definedName>
    <definedName name="_xlnm.Print_Titles" localSheetId="2">COM!$1:$4</definedName>
    <definedName name="_xlnm.Print_Titles" localSheetId="5">CS!$1:$4</definedName>
    <definedName name="_xlnm.Print_Titles" localSheetId="6">DAC!$1:$4</definedName>
    <definedName name="_xlnm.Print_Titles" localSheetId="7">IV!$1:$4</definedName>
    <definedName name="_xlnm.Print_Titles" localSheetId="8">JUR!$1:$4</definedName>
    <definedName name="_xlnm.Print_Titles" localSheetId="4">'Part C.'!$1:$4</definedName>
    <definedName name="_xlnm.Print_Titles" localSheetId="3">'PROT. CIV.'!$1:$4</definedName>
    <definedName name="_xlnm.Print_Titles" localSheetId="9">TEC!$1:$4</definedName>
  </definedNames>
  <calcPr calcId="162913"/>
</workbook>
</file>

<file path=xl/calcChain.xml><?xml version="1.0" encoding="utf-8"?>
<calcChain xmlns="http://schemas.openxmlformats.org/spreadsheetml/2006/main">
  <c r="J33" i="21" l="1"/>
  <c r="K33" i="21"/>
  <c r="L33" i="21"/>
  <c r="M33" i="21"/>
  <c r="N33" i="21"/>
  <c r="I33" i="21"/>
  <c r="N106" i="21" l="1"/>
  <c r="N98" i="21"/>
  <c r="N93" i="21"/>
  <c r="N60" i="21"/>
  <c r="N47" i="21"/>
  <c r="N29" i="20" l="1"/>
  <c r="M106" i="21" l="1"/>
  <c r="M98" i="21"/>
  <c r="M93" i="21"/>
  <c r="M60" i="21"/>
  <c r="M47" i="21"/>
  <c r="M80" i="30" l="1"/>
  <c r="M79" i="30"/>
  <c r="M78" i="30"/>
  <c r="M76" i="30"/>
  <c r="M65" i="30"/>
  <c r="M45" i="30"/>
  <c r="M40" i="30"/>
  <c r="M39" i="30"/>
  <c r="M38" i="30"/>
  <c r="M35" i="30"/>
  <c r="M30" i="30"/>
  <c r="M27" i="30"/>
  <c r="M22" i="30"/>
  <c r="M19" i="30"/>
  <c r="M14" i="30"/>
  <c r="M11" i="30"/>
  <c r="M8" i="30"/>
  <c r="M6" i="30"/>
  <c r="M29" i="20" l="1"/>
  <c r="L80" i="30" l="1"/>
  <c r="L79" i="30"/>
  <c r="L78" i="30"/>
  <c r="L76" i="30"/>
  <c r="L65" i="30"/>
  <c r="L45" i="30"/>
  <c r="L40" i="30"/>
  <c r="L39" i="30"/>
  <c r="L38" i="30"/>
  <c r="L35" i="30"/>
  <c r="L30" i="30"/>
  <c r="L27" i="30"/>
  <c r="L24" i="30"/>
  <c r="L22" i="30"/>
  <c r="L19" i="30"/>
  <c r="L16" i="30"/>
  <c r="L14" i="30"/>
  <c r="L11" i="30"/>
  <c r="L8" i="30"/>
  <c r="L6" i="30"/>
  <c r="L106" i="21" l="1"/>
  <c r="L98" i="21"/>
  <c r="L93" i="21"/>
  <c r="L60" i="21"/>
  <c r="L47" i="21"/>
  <c r="L29" i="20" l="1"/>
  <c r="K80" i="30" l="1"/>
  <c r="K79" i="30"/>
  <c r="K78" i="30"/>
  <c r="K76" i="30"/>
  <c r="K65" i="30"/>
  <c r="K45" i="30"/>
  <c r="K40" i="30"/>
  <c r="K39" i="30"/>
  <c r="K38" i="30"/>
  <c r="K35" i="30"/>
  <c r="K30" i="30"/>
  <c r="K27" i="30"/>
  <c r="K22" i="30"/>
  <c r="K19" i="30"/>
  <c r="K14" i="30"/>
  <c r="K11" i="30"/>
  <c r="K8" i="30"/>
  <c r="K6" i="30"/>
  <c r="K29" i="20" l="1"/>
  <c r="K106" i="21" l="1"/>
  <c r="K98" i="21"/>
  <c r="K93" i="21"/>
  <c r="K60" i="21"/>
  <c r="K47" i="21"/>
  <c r="K10" i="23" l="1"/>
  <c r="K11" i="23" s="1"/>
  <c r="K13" i="23" s="1"/>
  <c r="O6" i="22" l="1"/>
  <c r="J80" i="30" l="1"/>
  <c r="J79" i="30"/>
  <c r="J78" i="30"/>
  <c r="J76" i="30"/>
  <c r="J65" i="30"/>
  <c r="I65" i="30"/>
  <c r="J45" i="30"/>
  <c r="I45" i="30"/>
  <c r="J40" i="30"/>
  <c r="J38" i="30"/>
  <c r="J35" i="30"/>
  <c r="J30" i="30"/>
  <c r="J27" i="30"/>
  <c r="J22" i="30"/>
  <c r="J19" i="30"/>
  <c r="J14" i="30"/>
  <c r="J11" i="30"/>
  <c r="J8" i="30"/>
  <c r="J6" i="30"/>
  <c r="J10" i="23" l="1"/>
  <c r="I106" i="21" l="1"/>
  <c r="I98" i="21"/>
  <c r="I93" i="21"/>
  <c r="I60" i="21"/>
  <c r="I47" i="21"/>
  <c r="H29" i="20" l="1"/>
  <c r="H80" i="30" l="1"/>
  <c r="H79" i="30"/>
  <c r="H78" i="30"/>
  <c r="H76" i="30"/>
  <c r="H65" i="30"/>
  <c r="H60" i="30"/>
  <c r="H55" i="30"/>
  <c r="H50" i="30"/>
  <c r="H45" i="30"/>
  <c r="H40" i="30"/>
  <c r="H39" i="30"/>
  <c r="H38" i="30"/>
  <c r="H35" i="30"/>
  <c r="H30" i="30"/>
  <c r="H27" i="30"/>
  <c r="H24" i="30"/>
  <c r="H22" i="30"/>
  <c r="H19" i="30"/>
  <c r="H16" i="30"/>
  <c r="H14" i="30"/>
  <c r="H11" i="30"/>
  <c r="H8" i="30"/>
  <c r="H6" i="30"/>
  <c r="H106" i="21" l="1"/>
  <c r="H98" i="21"/>
  <c r="H93" i="21"/>
  <c r="H60" i="21"/>
  <c r="H47" i="21"/>
  <c r="H33" i="21"/>
  <c r="G29" i="20" l="1"/>
  <c r="G12" i="30" l="1"/>
  <c r="F12" i="30"/>
  <c r="E12" i="30"/>
  <c r="D12" i="30"/>
  <c r="C12" i="30"/>
  <c r="G11" i="30"/>
  <c r="F11" i="30"/>
  <c r="E11" i="30"/>
  <c r="D11" i="30"/>
  <c r="C11" i="30"/>
  <c r="F8" i="30"/>
  <c r="E8" i="30"/>
  <c r="D8" i="30"/>
  <c r="C8" i="30"/>
  <c r="G6" i="30"/>
  <c r="F6" i="30"/>
  <c r="E6" i="30"/>
  <c r="D6" i="30"/>
  <c r="C6" i="30"/>
  <c r="G20" i="30"/>
  <c r="F20" i="30"/>
  <c r="E20" i="30"/>
  <c r="D20" i="30"/>
  <c r="G19" i="30"/>
  <c r="F19" i="30"/>
  <c r="E19" i="30"/>
  <c r="D19" i="30"/>
  <c r="C19" i="30"/>
  <c r="E18" i="30"/>
  <c r="F16" i="30"/>
  <c r="E16" i="30"/>
  <c r="D16" i="30"/>
  <c r="C16" i="30"/>
  <c r="G14" i="30"/>
  <c r="F14" i="30"/>
  <c r="E14" i="30"/>
  <c r="D14" i="30"/>
  <c r="C14" i="30"/>
  <c r="G28" i="30"/>
  <c r="E28" i="30"/>
  <c r="D28" i="30"/>
  <c r="C28" i="30"/>
  <c r="G27" i="30"/>
  <c r="F27" i="30"/>
  <c r="E27" i="30"/>
  <c r="D27" i="30"/>
  <c r="C27" i="30"/>
  <c r="F24" i="30"/>
  <c r="E24" i="30"/>
  <c r="D24" i="30"/>
  <c r="C24" i="30"/>
  <c r="G22" i="30"/>
  <c r="F22" i="30"/>
  <c r="E22" i="30"/>
  <c r="D22" i="30"/>
  <c r="C22" i="30"/>
  <c r="D36" i="30"/>
  <c r="G35" i="30"/>
  <c r="F35" i="30"/>
  <c r="E35" i="30"/>
  <c r="D35" i="30"/>
  <c r="C35" i="30"/>
  <c r="G30" i="30"/>
  <c r="F30" i="30"/>
  <c r="E30" i="30"/>
  <c r="D30" i="30"/>
  <c r="C30" i="30"/>
  <c r="G40" i="30"/>
  <c r="F40" i="30"/>
  <c r="E40" i="30"/>
  <c r="D40" i="30"/>
  <c r="C40" i="30"/>
  <c r="G39" i="30"/>
  <c r="F39" i="30"/>
  <c r="E39" i="30"/>
  <c r="C39" i="30"/>
  <c r="G38" i="30"/>
  <c r="F38" i="30"/>
  <c r="E38" i="30"/>
  <c r="D38" i="30"/>
  <c r="C38" i="30"/>
  <c r="G45" i="30"/>
  <c r="F45" i="30"/>
  <c r="E45" i="30"/>
  <c r="D43" i="30"/>
  <c r="D45" i="30" s="1"/>
  <c r="C43" i="30"/>
  <c r="C42" i="30"/>
  <c r="C45" i="30" s="1"/>
  <c r="G50" i="30"/>
  <c r="F50" i="30"/>
  <c r="E50" i="30"/>
  <c r="D50" i="30"/>
  <c r="C50" i="30"/>
  <c r="G55" i="30"/>
  <c r="F55" i="30"/>
  <c r="E55" i="30"/>
  <c r="D55" i="30"/>
  <c r="C55" i="30"/>
  <c r="G60" i="30"/>
  <c r="F60" i="30"/>
  <c r="E60" i="30"/>
  <c r="D60" i="30"/>
  <c r="C60" i="30"/>
  <c r="G65" i="30"/>
  <c r="F65" i="30"/>
  <c r="E65" i="30"/>
  <c r="D65" i="30"/>
  <c r="C63" i="30"/>
  <c r="C65" i="30" s="1"/>
  <c r="D73" i="30"/>
  <c r="G80" i="30"/>
  <c r="F80" i="30"/>
  <c r="E80" i="30"/>
  <c r="D80" i="30"/>
  <c r="C80" i="30"/>
  <c r="G79" i="30"/>
  <c r="F79" i="30"/>
  <c r="E79" i="30"/>
  <c r="D79" i="30"/>
  <c r="C79" i="30"/>
  <c r="G78" i="30"/>
  <c r="F78" i="30"/>
  <c r="E78" i="30"/>
  <c r="D78" i="30"/>
  <c r="C78" i="30"/>
  <c r="G76" i="30"/>
  <c r="F76" i="30"/>
  <c r="E76" i="30"/>
  <c r="D76" i="30"/>
  <c r="C76" i="30"/>
  <c r="G106" i="21" l="1"/>
  <c r="F106" i="21"/>
  <c r="E106" i="21"/>
  <c r="D106" i="21"/>
  <c r="C106" i="21"/>
  <c r="G98" i="21"/>
  <c r="F98" i="21"/>
  <c r="E98" i="21"/>
  <c r="D98" i="21"/>
  <c r="C98" i="21"/>
  <c r="G93" i="21"/>
  <c r="F93" i="21"/>
  <c r="E93" i="21"/>
  <c r="D93" i="21"/>
  <c r="C93" i="21"/>
  <c r="G60" i="21"/>
  <c r="F60" i="21"/>
  <c r="E60" i="21"/>
  <c r="D60" i="21"/>
  <c r="C60" i="21"/>
  <c r="G47" i="21"/>
  <c r="F47" i="21"/>
  <c r="E47" i="21"/>
  <c r="D47" i="21"/>
  <c r="C47" i="21"/>
  <c r="G33" i="21"/>
  <c r="F33" i="21"/>
  <c r="E33" i="21"/>
  <c r="D33" i="21"/>
  <c r="C33" i="21"/>
  <c r="N4" i="25" l="1"/>
  <c r="M4" i="25"/>
  <c r="L4" i="25"/>
  <c r="K4" i="25"/>
  <c r="J4" i="25"/>
  <c r="I4" i="25"/>
  <c r="H4" i="25"/>
  <c r="G4" i="25"/>
  <c r="F4" i="25"/>
  <c r="E4" i="25"/>
  <c r="D4" i="25"/>
  <c r="C4" i="25"/>
  <c r="N4" i="31"/>
  <c r="M4" i="31"/>
  <c r="L4" i="31"/>
  <c r="K4" i="31"/>
  <c r="J4" i="31"/>
  <c r="I4" i="31"/>
  <c r="H4" i="31"/>
  <c r="G4" i="31"/>
  <c r="F4" i="31"/>
  <c r="E4" i="31"/>
  <c r="D4" i="31"/>
  <c r="C4" i="31"/>
  <c r="N4" i="30"/>
  <c r="M4" i="30"/>
  <c r="L4" i="30"/>
  <c r="K4" i="30"/>
  <c r="J4" i="30"/>
  <c r="I4" i="30"/>
  <c r="H4" i="30"/>
  <c r="G4" i="30"/>
  <c r="F4" i="30"/>
  <c r="E4" i="30"/>
  <c r="D4" i="30"/>
  <c r="C4" i="30"/>
  <c r="N4" i="28"/>
  <c r="M4" i="28"/>
  <c r="L4" i="28"/>
  <c r="K4" i="28"/>
  <c r="J4" i="28"/>
  <c r="I4" i="28"/>
  <c r="H4" i="28"/>
  <c r="G4" i="28"/>
  <c r="F4" i="28"/>
  <c r="E4" i="28"/>
  <c r="D4" i="28"/>
  <c r="C4" i="28"/>
  <c r="N4" i="27"/>
  <c r="M4" i="27"/>
  <c r="L4" i="27"/>
  <c r="K4" i="27"/>
  <c r="J4" i="27"/>
  <c r="I4" i="27"/>
  <c r="H4" i="27"/>
  <c r="G4" i="27"/>
  <c r="F4" i="27"/>
  <c r="E4" i="27"/>
  <c r="D4" i="27"/>
  <c r="C4" i="27"/>
  <c r="N4" i="23"/>
  <c r="M4" i="23"/>
  <c r="L4" i="23"/>
  <c r="K4" i="23"/>
  <c r="J4" i="23"/>
  <c r="I4" i="23"/>
  <c r="H4" i="23"/>
  <c r="G4" i="23"/>
  <c r="F4" i="23"/>
  <c r="E4" i="23"/>
  <c r="D4" i="23"/>
  <c r="C4" i="23"/>
  <c r="N4" i="22"/>
  <c r="M4" i="22"/>
  <c r="L4" i="22"/>
  <c r="K4" i="22"/>
  <c r="J4" i="22"/>
  <c r="I4" i="22"/>
  <c r="H4" i="22"/>
  <c r="G4" i="22"/>
  <c r="F4" i="22"/>
  <c r="E4" i="22"/>
  <c r="D4" i="22"/>
  <c r="C4" i="22"/>
  <c r="N4" i="21"/>
  <c r="M4" i="21"/>
  <c r="L4" i="21"/>
  <c r="K4" i="21"/>
  <c r="J4" i="21"/>
  <c r="I4" i="21"/>
  <c r="H4" i="21"/>
  <c r="G4" i="21"/>
  <c r="F4" i="21"/>
  <c r="E4" i="21"/>
  <c r="D4" i="21"/>
  <c r="C4" i="21"/>
  <c r="N4" i="20"/>
  <c r="M4" i="20"/>
  <c r="L4" i="20"/>
  <c r="K4" i="20"/>
  <c r="J4" i="20"/>
  <c r="I4" i="20"/>
  <c r="H4" i="20"/>
  <c r="G4" i="20"/>
  <c r="F4" i="20"/>
  <c r="E4" i="20"/>
  <c r="D4" i="20"/>
  <c r="C4" i="20"/>
  <c r="O29" i="20" l="1"/>
  <c r="O62" i="30"/>
  <c r="O122" i="21"/>
  <c r="O13" i="27"/>
  <c r="O6" i="27"/>
  <c r="A6" i="30"/>
  <c r="A7" i="30" s="1"/>
  <c r="A8" i="30" s="1"/>
  <c r="A9" i="30" s="1"/>
  <c r="A10" i="30" s="1"/>
  <c r="A11" i="30" s="1"/>
  <c r="A12" i="30" s="1"/>
  <c r="A6" i="27"/>
  <c r="A7" i="27"/>
  <c r="A8" i="27" s="1"/>
  <c r="A9" i="27" s="1"/>
  <c r="A10" i="27" s="1"/>
  <c r="A11" i="27" s="1"/>
  <c r="A6" i="23"/>
  <c r="A7" i="23"/>
  <c r="A8" i="23" s="1"/>
  <c r="A9" i="23" s="1"/>
  <c r="A10" i="23" s="1"/>
  <c r="A11" i="23" s="1"/>
  <c r="A12" i="23" s="1"/>
  <c r="A13" i="23" s="1"/>
  <c r="A6" i="22"/>
  <c r="A7" i="22"/>
  <c r="A8" i="22" s="1"/>
  <c r="A9" i="22" s="1"/>
  <c r="A10" i="22" s="1"/>
  <c r="O5" i="25"/>
  <c r="O10" i="31"/>
  <c r="O64" i="30"/>
  <c r="O63" i="30"/>
  <c r="O59" i="30"/>
  <c r="O58" i="30"/>
  <c r="O57" i="30"/>
  <c r="O7" i="27"/>
  <c r="O6" i="23"/>
  <c r="O24" i="22"/>
  <c r="O23" i="22"/>
  <c r="O22" i="22"/>
  <c r="O21" i="22"/>
  <c r="O20" i="22"/>
  <c r="O18" i="22"/>
  <c r="O16" i="22"/>
  <c r="O14" i="22"/>
  <c r="O13" i="22"/>
  <c r="O12" i="22"/>
  <c r="O10" i="22"/>
  <c r="O9" i="22"/>
  <c r="O8" i="22"/>
  <c r="O7" i="22"/>
  <c r="O22" i="21"/>
  <c r="O21" i="21"/>
  <c r="O20" i="21"/>
  <c r="O19" i="21"/>
  <c r="O18" i="21"/>
  <c r="O16" i="21"/>
  <c r="O15" i="21"/>
  <c r="O14" i="21"/>
  <c r="O13" i="21"/>
  <c r="O12" i="21"/>
  <c r="O11" i="21"/>
  <c r="O9" i="21"/>
  <c r="O8" i="21"/>
  <c r="O7" i="21"/>
  <c r="O6" i="21"/>
  <c r="O5" i="21"/>
  <c r="O24" i="21"/>
  <c r="O25" i="21"/>
  <c r="O26" i="21"/>
  <c r="O27" i="21"/>
  <c r="O28" i="21"/>
  <c r="O29" i="21"/>
  <c r="O30" i="21"/>
  <c r="O31" i="21"/>
  <c r="O32" i="21"/>
  <c r="O33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O89" i="21"/>
  <c r="O90" i="21"/>
  <c r="O91" i="21"/>
  <c r="O92" i="21"/>
  <c r="O93" i="21"/>
  <c r="O95" i="21"/>
  <c r="O96" i="21"/>
  <c r="O97" i="21"/>
  <c r="O98" i="21"/>
  <c r="O100" i="21"/>
  <c r="O101" i="21"/>
  <c r="O102" i="21"/>
  <c r="O103" i="21"/>
  <c r="O104" i="21"/>
  <c r="O105" i="21"/>
  <c r="O106" i="21"/>
  <c r="O108" i="21"/>
  <c r="O109" i="21"/>
  <c r="O110" i="21"/>
  <c r="O111" i="21"/>
  <c r="O112" i="21"/>
  <c r="O113" i="21"/>
  <c r="O114" i="21"/>
  <c r="O115" i="21"/>
  <c r="O116" i="21"/>
  <c r="O117" i="21"/>
  <c r="O119" i="21"/>
  <c r="O120" i="21"/>
  <c r="O121" i="21"/>
  <c r="O6" i="20"/>
  <c r="O7" i="20"/>
  <c r="O9" i="20"/>
  <c r="O10" i="20"/>
  <c r="O11" i="20"/>
  <c r="O13" i="20"/>
  <c r="O14" i="20"/>
  <c r="O15" i="20"/>
  <c r="O17" i="20"/>
  <c r="O18" i="20"/>
  <c r="O19" i="20"/>
  <c r="O20" i="20"/>
  <c r="O22" i="20"/>
  <c r="O23" i="20"/>
  <c r="O24" i="20"/>
  <c r="O25" i="20"/>
  <c r="O26" i="20"/>
  <c r="O27" i="20"/>
  <c r="O28" i="20"/>
  <c r="O5" i="20"/>
  <c r="A8" i="21"/>
  <c r="A9" i="21" s="1"/>
  <c r="A10" i="21" s="1"/>
  <c r="O20" i="31"/>
  <c r="O19" i="31"/>
  <c r="O18" i="31"/>
  <c r="O17" i="31"/>
  <c r="O15" i="31"/>
  <c r="O14" i="31"/>
  <c r="O13" i="31"/>
  <c r="O12" i="31"/>
  <c r="O11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O9" i="31"/>
  <c r="O8" i="31"/>
  <c r="O7" i="31"/>
  <c r="O6" i="31"/>
  <c r="O5" i="31"/>
  <c r="O12" i="30"/>
  <c r="O11" i="30"/>
  <c r="O10" i="30"/>
  <c r="O9" i="30"/>
  <c r="O8" i="30"/>
  <c r="O7" i="30"/>
  <c r="O6" i="30"/>
  <c r="O20" i="30"/>
  <c r="O19" i="30"/>
  <c r="O18" i="30"/>
  <c r="O17" i="30"/>
  <c r="O16" i="30"/>
  <c r="O15" i="30"/>
  <c r="O14" i="30"/>
  <c r="O28" i="30"/>
  <c r="O27" i="30"/>
  <c r="O26" i="30"/>
  <c r="O25" i="30"/>
  <c r="O24" i="30"/>
  <c r="O23" i="30"/>
  <c r="O22" i="30"/>
  <c r="O40" i="30"/>
  <c r="O39" i="30"/>
  <c r="O38" i="30"/>
  <c r="O36" i="30"/>
  <c r="O35" i="30"/>
  <c r="O34" i="30"/>
  <c r="O33" i="30"/>
  <c r="O32" i="30"/>
  <c r="O31" i="30"/>
  <c r="O30" i="30"/>
  <c r="O86" i="30"/>
  <c r="O85" i="30"/>
  <c r="O84" i="30"/>
  <c r="O83" i="30"/>
  <c r="O82" i="30"/>
  <c r="O81" i="30"/>
  <c r="O80" i="30"/>
  <c r="O79" i="30"/>
  <c r="O78" i="30"/>
  <c r="O77" i="30"/>
  <c r="O76" i="30"/>
  <c r="O74" i="30"/>
  <c r="O73" i="30"/>
  <c r="O71" i="30"/>
  <c r="O70" i="30"/>
  <c r="O69" i="30"/>
  <c r="O68" i="30"/>
  <c r="O67" i="30"/>
  <c r="O54" i="30"/>
  <c r="O53" i="30"/>
  <c r="O52" i="30"/>
  <c r="O49" i="30"/>
  <c r="O48" i="30"/>
  <c r="O47" i="30"/>
  <c r="O44" i="30"/>
  <c r="O43" i="30"/>
  <c r="O42" i="30"/>
  <c r="A13" i="30"/>
  <c r="A14" i="30" s="1"/>
  <c r="A15" i="30" s="1"/>
  <c r="A16" i="30" s="1"/>
  <c r="A17" i="30" s="1"/>
  <c r="A18" i="30" s="1"/>
  <c r="A19" i="30" s="1"/>
  <c r="A20" i="30" s="1"/>
  <c r="A6" i="28"/>
  <c r="A7" i="28" s="1"/>
  <c r="O7" i="28"/>
  <c r="O6" i="28"/>
  <c r="O5" i="28"/>
  <c r="O17" i="27"/>
  <c r="O16" i="27"/>
  <c r="O15" i="27"/>
  <c r="O14" i="27"/>
  <c r="O11" i="27"/>
  <c r="O10" i="27"/>
  <c r="O9" i="27"/>
  <c r="O8" i="27"/>
  <c r="A12" i="27"/>
  <c r="A13" i="27" s="1"/>
  <c r="A14" i="27" s="1"/>
  <c r="A15" i="27" s="1"/>
  <c r="A16" i="27" s="1"/>
  <c r="A17" i="27" s="1"/>
  <c r="A14" i="23"/>
  <c r="A15" i="23" s="1"/>
  <c r="A16" i="23" s="1"/>
  <c r="A17" i="23" s="1"/>
  <c r="A18" i="23" s="1"/>
  <c r="O18" i="23"/>
  <c r="O17" i="23"/>
  <c r="O16" i="23"/>
  <c r="O7" i="23"/>
  <c r="O8" i="23"/>
  <c r="O10" i="23" s="1"/>
  <c r="O9" i="23"/>
  <c r="O11" i="23"/>
  <c r="O12" i="23"/>
  <c r="O15" i="23"/>
  <c r="A11" i="22"/>
  <c r="A6" i="21"/>
  <c r="A6" i="20"/>
  <c r="A7" i="20" s="1"/>
  <c r="A8" i="20" s="1"/>
  <c r="A15" i="22"/>
  <c r="A16" i="22" s="1"/>
  <c r="A12" i="22"/>
  <c r="A13" i="22" s="1"/>
  <c r="A14" i="22" s="1"/>
  <c r="O55" i="30"/>
  <c r="O45" i="30"/>
  <c r="O60" i="30"/>
  <c r="O50" i="30"/>
  <c r="O65" i="30"/>
  <c r="A17" i="22"/>
  <c r="A18" i="22" s="1"/>
  <c r="A78" i="21"/>
  <c r="A79" i="2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17" i="21" l="1"/>
  <c r="A11" i="21"/>
  <c r="A12" i="21" s="1"/>
  <c r="A13" i="21" s="1"/>
  <c r="A14" i="21" s="1"/>
  <c r="A15" i="21" s="1"/>
  <c r="A16" i="21" s="1"/>
  <c r="A21" i="30"/>
  <c r="O13" i="23"/>
  <c r="A19" i="22"/>
  <c r="A20" i="22" s="1"/>
  <c r="A21" i="22" s="1"/>
  <c r="A22" i="22" s="1"/>
  <c r="A23" i="22" s="1"/>
  <c r="A24" i="22" s="1"/>
  <c r="A12" i="20"/>
  <c r="A9" i="20"/>
  <c r="A10" i="20" s="1"/>
  <c r="A11" i="20" s="1"/>
  <c r="A22" i="30" l="1"/>
  <c r="A23" i="30" s="1"/>
  <c r="A24" i="30" s="1"/>
  <c r="A25" i="30" s="1"/>
  <c r="A26" i="30" s="1"/>
  <c r="A27" i="30" s="1"/>
  <c r="A28" i="30" s="1"/>
  <c r="A29" i="30"/>
  <c r="A18" i="21"/>
  <c r="A19" i="21" s="1"/>
  <c r="A20" i="21" s="1"/>
  <c r="A21" i="21" s="1"/>
  <c r="A22" i="21" s="1"/>
  <c r="A23" i="21"/>
  <c r="A16" i="20"/>
  <c r="A13" i="20"/>
  <c r="A14" i="20" s="1"/>
  <c r="A15" i="20" s="1"/>
  <c r="A24" i="21" l="1"/>
  <c r="A25" i="21" s="1"/>
  <c r="A26" i="21" s="1"/>
  <c r="A27" i="21" s="1"/>
  <c r="A28" i="21" s="1"/>
  <c r="A29" i="21" s="1"/>
  <c r="A30" i="21" s="1"/>
  <c r="A31" i="21" s="1"/>
  <c r="A32" i="21" s="1"/>
  <c r="A34" i="21"/>
  <c r="A30" i="30"/>
  <c r="A31" i="30" s="1"/>
  <c r="A32" i="30" s="1"/>
  <c r="A33" i="30" s="1"/>
  <c r="A34" i="30" s="1"/>
  <c r="A35" i="30" s="1"/>
  <c r="A36" i="30" s="1"/>
  <c r="A37" i="30"/>
  <c r="A21" i="20"/>
  <c r="A22" i="20" s="1"/>
  <c r="A23" i="20" s="1"/>
  <c r="A24" i="20" s="1"/>
  <c r="A25" i="20" s="1"/>
  <c r="A26" i="20" s="1"/>
  <c r="A27" i="20" s="1"/>
  <c r="A28" i="20" s="1"/>
  <c r="A29" i="20" s="1"/>
  <c r="A17" i="20"/>
  <c r="A18" i="20" s="1"/>
  <c r="A19" i="20" s="1"/>
  <c r="A20" i="20" s="1"/>
  <c r="A41" i="30" l="1"/>
  <c r="A38" i="30"/>
  <c r="A39" i="30" s="1"/>
  <c r="A40" i="30" s="1"/>
  <c r="A35" i="21"/>
  <c r="A36" i="21" s="1"/>
  <c r="A37" i="21" s="1"/>
  <c r="A38" i="21" s="1"/>
  <c r="A39" i="21" s="1"/>
  <c r="A40" i="21" s="1"/>
  <c r="A41" i="21" s="1"/>
  <c r="A42" i="21" s="1"/>
  <c r="A43" i="21" s="1"/>
  <c r="A48" i="21"/>
  <c r="A49" i="21" l="1"/>
  <c r="A50" i="21" s="1"/>
  <c r="A51" i="21" s="1"/>
  <c r="A52" i="21" s="1"/>
  <c r="A53" i="21" s="1"/>
  <c r="A54" i="21" s="1"/>
  <c r="A55" i="21" s="1"/>
  <c r="A56" i="21" s="1"/>
  <c r="A57" i="21" s="1"/>
  <c r="A61" i="21"/>
  <c r="A46" i="30"/>
  <c r="A42" i="30"/>
  <c r="A43" i="30" s="1"/>
  <c r="A44" i="30" s="1"/>
  <c r="A45" i="30" s="1"/>
  <c r="A47" i="30" l="1"/>
  <c r="A48" i="30" s="1"/>
  <c r="A49" i="30" s="1"/>
  <c r="A50" i="30" s="1"/>
  <c r="A51" i="30"/>
  <c r="A62" i="21"/>
  <c r="A63" i="21" s="1"/>
  <c r="A64" i="21" s="1"/>
  <c r="A65" i="21" s="1"/>
  <c r="A66" i="21" s="1"/>
  <c r="A67" i="21" s="1"/>
  <c r="A68" i="21" s="1"/>
  <c r="A69" i="21" s="1"/>
  <c r="A70" i="21" s="1"/>
  <c r="A94" i="21"/>
  <c r="A95" i="21" l="1"/>
  <c r="A96" i="21" s="1"/>
  <c r="A97" i="21" s="1"/>
  <c r="A98" i="21" s="1"/>
  <c r="A99" i="21"/>
  <c r="A56" i="30"/>
  <c r="A52" i="30"/>
  <c r="A53" i="30" s="1"/>
  <c r="A54" i="30" s="1"/>
  <c r="A55" i="30" s="1"/>
  <c r="A61" i="30" l="1"/>
  <c r="A57" i="30"/>
  <c r="A58" i="30" s="1"/>
  <c r="A59" i="30" s="1"/>
  <c r="A60" i="30" s="1"/>
  <c r="A100" i="21"/>
  <c r="A101" i="21" s="1"/>
  <c r="A102" i="21" s="1"/>
  <c r="A103" i="21" s="1"/>
  <c r="A104" i="21" s="1"/>
  <c r="A105" i="21" s="1"/>
  <c r="A106" i="21" s="1"/>
  <c r="A107" i="21"/>
  <c r="A118" i="21" l="1"/>
  <c r="A119" i="21" s="1"/>
  <c r="A120" i="21" s="1"/>
  <c r="A121" i="21" s="1"/>
  <c r="A122" i="21" s="1"/>
  <c r="A108" i="21"/>
  <c r="A109" i="21" s="1"/>
  <c r="A110" i="21" s="1"/>
  <c r="A111" i="21" s="1"/>
  <c r="A112" i="21" s="1"/>
  <c r="A113" i="21" s="1"/>
  <c r="A114" i="21" s="1"/>
  <c r="A115" i="21" s="1"/>
  <c r="A116" i="21" s="1"/>
  <c r="A66" i="30"/>
  <c r="A62" i="30"/>
  <c r="A63" i="30" s="1"/>
  <c r="A64" i="30" s="1"/>
  <c r="A65" i="30" s="1"/>
  <c r="A72" i="30" l="1"/>
  <c r="A67" i="30"/>
  <c r="A68" i="30" s="1"/>
  <c r="A69" i="30" s="1"/>
  <c r="A70" i="30" s="1"/>
  <c r="A71" i="30" s="1"/>
  <c r="A75" i="30" l="1"/>
  <c r="A76" i="30" s="1"/>
  <c r="A77" i="30" s="1"/>
  <c r="A78" i="30" s="1"/>
  <c r="A79" i="30" s="1"/>
  <c r="A80" i="30" s="1"/>
  <c r="A81" i="30" s="1"/>
  <c r="A82" i="30" s="1"/>
  <c r="A83" i="30" s="1"/>
  <c r="A84" i="30" s="1"/>
  <c r="A73" i="30"/>
  <c r="A74" i="30" s="1"/>
</calcChain>
</file>

<file path=xl/sharedStrings.xml><?xml version="1.0" encoding="utf-8"?>
<sst xmlns="http://schemas.openxmlformats.org/spreadsheetml/2006/main" count="359" uniqueCount="263">
  <si>
    <t>No.</t>
  </si>
  <si>
    <t>ESTADÍSTICA</t>
  </si>
  <si>
    <t>SECRETARÍA DEL AYUNTAMIENTO</t>
  </si>
  <si>
    <t>Multas aplicadas</t>
  </si>
  <si>
    <t>*(1) Permisos eventuales o de temporada autorizados (art. 33 del Reglamento para el Uso de la Vía Pública en el Ejercicio de la Actividad Comercial en Monterrey,N.L.)</t>
  </si>
  <si>
    <t>Permisos autorizados  (art. 23 del Reglamento para el Uso de la Vía Pública en el Ejercicio de la Actividad Comercial en Monterrey,N.L.)</t>
  </si>
  <si>
    <t>*(3) Reubicación de comerciantes de vía pública</t>
  </si>
  <si>
    <t>*(2) Operativos de comercio en vía pública</t>
  </si>
  <si>
    <t>*(2) Operativos en mercados rodantes</t>
  </si>
  <si>
    <t>NOTA:</t>
  </si>
  <si>
    <t>*(2) Operativo significa acciones especiales de inspección y aplicación del reglamento para efectos de reubicación y/o retención de mercancías,  implantadas para verificar aspectos específicos.</t>
  </si>
  <si>
    <t>*(1) Los permisos eventuales o de temporada se registran en las cuentas 2811, dichos permisos no incrementan el Padrón de Comerciantes.</t>
  </si>
  <si>
    <t>Nota: La Cuenta 2814 (Ene, Feb-2012) fue reportada por la Direccion de Ingresos en virtud de haber aportacion en dicho rubro.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</si>
  <si>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</si>
  <si>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Operativos</t>
  </si>
  <si>
    <t>Ingresos</t>
  </si>
  <si>
    <t>Ingreso recaudado por multas (cta. 4181)</t>
  </si>
  <si>
    <t>Ingresos por ocupación vía pública provisional (cta. 2811)</t>
  </si>
  <si>
    <t>Ingresos totales</t>
  </si>
  <si>
    <t>Ingresos por baños públicos</t>
  </si>
  <si>
    <t>Ingresos por mercados municipales</t>
  </si>
  <si>
    <t>Mercados rodantes (cta 2815)</t>
  </si>
  <si>
    <t>Aportación por administración (cta. 2814)</t>
  </si>
  <si>
    <t>Ingresos por ocupación vía pública  (cta. 2810)</t>
  </si>
  <si>
    <t>Total de operativos</t>
  </si>
  <si>
    <t>Atención ciudadana en las oficinas de la Dirección de Comercio</t>
  </si>
  <si>
    <t xml:space="preserve">Retenciones - Actas de levantamiento de enseres </t>
  </si>
  <si>
    <t>Bajas de retenciones por perecederos</t>
  </si>
  <si>
    <t>Amonestaciones</t>
  </si>
  <si>
    <t>Atención ciudadana</t>
  </si>
  <si>
    <t>Retención, bajas, multas y/o amonestaciones</t>
  </si>
  <si>
    <t xml:space="preserve">Quejas recibidas </t>
  </si>
  <si>
    <t xml:space="preserve">Quejas resueltas 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</si>
  <si>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</si>
  <si>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</si>
  <si>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</si>
  <si>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</si>
  <si>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</si>
  <si>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Área de inspección y vigilancia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</si>
  <si>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</si>
  <si>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</si>
  <si>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</si>
  <si>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</si>
  <si>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</si>
  <si>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</si>
  <si>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</si>
  <si>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</si>
  <si>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</si>
  <si>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</si>
  <si>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</si>
  <si>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</si>
  <si>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Coordinación operativa en accidentes viales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</si>
  <si>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</si>
  <si>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</si>
  <si>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</si>
  <si>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</si>
  <si>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</si>
  <si>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</si>
  <si>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</si>
  <si>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</si>
  <si>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</si>
  <si>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Total</t>
  </si>
  <si>
    <t>Coordinación operativa en incendios urbanos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</si>
  <si>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</si>
  <si>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</si>
  <si>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</si>
  <si>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</si>
  <si>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</si>
  <si>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</si>
  <si>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</si>
  <si>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</si>
  <si>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</si>
  <si>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</si>
  <si>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</si>
  <si>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</si>
  <si>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Coordinación operativa en fugas y derrames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</si>
  <si>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</si>
  <si>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</si>
  <si>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</si>
  <si>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</si>
  <si>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</si>
  <si>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</si>
  <si>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</si>
  <si>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</si>
  <si>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</si>
  <si>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</si>
  <si>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</si>
  <si>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</si>
  <si>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</si>
  <si>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</si>
  <si>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</si>
  <si>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</si>
  <si>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</si>
  <si>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</si>
  <si>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</si>
  <si>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</si>
  <si>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</si>
  <si>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</si>
  <si>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</si>
  <si>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</si>
  <si>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</si>
  <si>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</si>
  <si>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</si>
  <si>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</si>
  <si>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</si>
  <si>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</si>
  <si>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</si>
  <si>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</si>
  <si>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</si>
  <si>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</si>
  <si>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</si>
  <si>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</si>
  <si>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</si>
  <si>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</si>
  <si>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</si>
  <si>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</si>
  <si>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</si>
  <si>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</si>
  <si>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</si>
  <si>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</si>
  <si>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</si>
  <si>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</si>
  <si>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</si>
  <si>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</si>
  <si>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</si>
  <si>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</si>
  <si>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</si>
  <si>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</si>
  <si>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</si>
  <si>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</si>
  <si>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</si>
  <si>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</si>
  <si>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</si>
  <si>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</si>
  <si>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</si>
  <si>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</si>
  <si>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</si>
  <si>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</si>
  <si>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</si>
  <si>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</si>
  <si>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</si>
  <si>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</si>
  <si>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</si>
  <si>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materioales peligrosos en tanques estacionarios</t>
  </si>
  <si>
    <t>Dictámenes de riesgos pagados</t>
  </si>
  <si>
    <t>Ingreso por dictámenes de factibilidad</t>
  </si>
  <si>
    <t>Constancias Expedidas</t>
  </si>
  <si>
    <t>Constancias Certificadas</t>
  </si>
  <si>
    <t>Constancias No Certificadas</t>
  </si>
  <si>
    <t>Ingreso por Constancias Certificadas</t>
  </si>
  <si>
    <t xml:space="preserve">*Jueces Auxiliares: cambio de concepto de Delegados Municipales a Jueces Auxiliares debido a la aprobación del Reglamento de Jueces Auxiliares del Municipio de Monterrey, aprobado en el Periódico Aficial del Estado de Nuevo León el 27 de febrero del 2016. </t>
  </si>
  <si>
    <t>Call Center</t>
  </si>
  <si>
    <t>Constancias</t>
  </si>
  <si>
    <t>Proyectos Transversales y Voluntariado</t>
  </si>
  <si>
    <t>ONG´S Registradas</t>
  </si>
  <si>
    <t>Gestiones con Asociaciones Civiles</t>
  </si>
  <si>
    <t>Gestiones con Empresas</t>
  </si>
  <si>
    <t xml:space="preserve">Eventos Realizados en Sinergia con ONG´S </t>
  </si>
  <si>
    <t>Eventos Realizados en Sinergia con Empresas y/o Dependencias Gubernamentales</t>
  </si>
  <si>
    <t>Área Operativa</t>
  </si>
  <si>
    <t>Cartas extendidas por los Jueces Auxiliares*</t>
  </si>
  <si>
    <t>Llamadas a Jueces Auxiliares*</t>
  </si>
  <si>
    <t>Cantidad de Jueces Auxiliares Visitados*</t>
  </si>
  <si>
    <t>Gestoría</t>
  </si>
  <si>
    <t>Gestoría Solicitada</t>
  </si>
  <si>
    <t>Gestoría Resuelta</t>
  </si>
  <si>
    <t>Gestoría en Trámite</t>
  </si>
  <si>
    <t>1 - año</t>
  </si>
  <si>
    <t>3 - años</t>
  </si>
  <si>
    <t>Total de tramites</t>
  </si>
  <si>
    <t>Total de ingresos Municipales</t>
  </si>
  <si>
    <t>Reclutamiento</t>
  </si>
  <si>
    <t>Jovenes que se registraron para su servicio SMN</t>
  </si>
  <si>
    <t>Resello de cartillas con resultados de ultimos sorteos</t>
  </si>
  <si>
    <t>Solicitudes de Servicios Municipales</t>
  </si>
  <si>
    <t>*CAM: Centro de Atención Municipal</t>
  </si>
  <si>
    <t>Solicitudes recibidas en CAM Palacio Municipal</t>
  </si>
  <si>
    <t>Solicitudes recibidas en CAM Parque Tucán</t>
  </si>
  <si>
    <t>Solicitudes recibidas en CAM Garza Sada</t>
  </si>
  <si>
    <t>Solicitudes recibidas en CAM Parque Aztlán</t>
  </si>
  <si>
    <t>Solicitudes recibidas en  CAM Alamey</t>
  </si>
  <si>
    <t>Solicitudes recibidas en otras Dependencias</t>
  </si>
  <si>
    <t>Orientaciones Externas</t>
  </si>
  <si>
    <t>Orientaciones externas atendidas en CAM Palacio Municipal</t>
  </si>
  <si>
    <t>Orientaciones externas atendidas en CAM Parque Tucán</t>
  </si>
  <si>
    <t>Orientaciones externas atendidas en CAM Garza Sada</t>
  </si>
  <si>
    <t>Orientaciones externas atendidas en CAM Parque Aztlán</t>
  </si>
  <si>
    <t>Orientaciones externas atendidas en CAM Alamey</t>
  </si>
  <si>
    <t>Anuencia Municipal para Permisos de Alcoholes</t>
  </si>
  <si>
    <t>Anuencia Municipal para Permisos Especiales No Lucrativos</t>
  </si>
  <si>
    <t>Anuencia Municipal para Permisos Especiales Lucrativos de Alcoholes aprobados por el Ayuntamiento</t>
  </si>
  <si>
    <t>Asuntos Recibidos</t>
  </si>
  <si>
    <t>CEDH</t>
  </si>
  <si>
    <t>Amparo</t>
  </si>
  <si>
    <t>Fiscal</t>
  </si>
  <si>
    <t>Penal</t>
  </si>
  <si>
    <t>Civil</t>
  </si>
  <si>
    <t>Mercantil</t>
  </si>
  <si>
    <t>Concencioso Administrativo</t>
  </si>
  <si>
    <t>Asuntos Concluidos</t>
  </si>
  <si>
    <t>Asuntos a Favor del Municipio</t>
  </si>
  <si>
    <t>Asuntos en Contra del Municipio</t>
  </si>
  <si>
    <t>Personas Detenidas</t>
  </si>
  <si>
    <t>Consultas</t>
  </si>
  <si>
    <t>Contratos</t>
  </si>
  <si>
    <t>Certificaciones</t>
  </si>
  <si>
    <t>Centro</t>
  </si>
  <si>
    <t>Norte</t>
  </si>
  <si>
    <t>Sur</t>
  </si>
  <si>
    <t>Personas Consignadas</t>
  </si>
  <si>
    <t>Revisión de actas del Comité Técnico de Adquisiciones.</t>
  </si>
  <si>
    <t>Revisión de bases de licitaciones emitidas por la Dir. de Adquisiciones</t>
  </si>
  <si>
    <t>Procesos de Obras Púb. (Comité de Fallos)</t>
  </si>
  <si>
    <t>Juntas del Comité de Adquisiciones, Arren. y Prestación de servicios</t>
  </si>
  <si>
    <t>Procesos y bases de licitación pública (Comité Técnico de Adquisiciones)</t>
  </si>
  <si>
    <t>Revisión y Juntas</t>
  </si>
  <si>
    <t>Notoria Improcedencia</t>
  </si>
  <si>
    <t>Desistimientos</t>
  </si>
  <si>
    <t>Sobreseídos</t>
  </si>
  <si>
    <t>Audiencias</t>
  </si>
  <si>
    <t>Audiencias Tribunal Contencioso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</si>
  <si>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</si>
  <si>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</si>
  <si>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</si>
  <si>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</si>
  <si>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</si>
  <si>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</si>
  <si>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</si>
  <si>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Notificaciones para Admision</t>
  </si>
  <si>
    <t>Notificaciones para Traslado</t>
  </si>
  <si>
    <t>Fortalecimiento del Sistema Juridico Municipal para La Prevención de Controversias</t>
  </si>
  <si>
    <t>Acuerdos por Unanimidad</t>
  </si>
  <si>
    <t>Acuerdos por Mayoría</t>
  </si>
  <si>
    <t>Total de Acuerdos del Ayuntamiento</t>
  </si>
  <si>
    <t>Gaceta Municipal (Total de Publicaciones)</t>
  </si>
  <si>
    <t>Cantidad de publicaciones realizadas en el período</t>
  </si>
  <si>
    <t>Expedición y/o Reforma a los Reglamentos</t>
  </si>
  <si>
    <t>Asesoría a Comisiones</t>
  </si>
  <si>
    <t>Elaboración de Propuestas de Dictámenes y Puntos de Acuerdo</t>
  </si>
  <si>
    <t>Elaboración de Fichas del Archivo Histórico</t>
  </si>
  <si>
    <t>Personas Atendidas en el Archivo Histórico</t>
  </si>
  <si>
    <t>Publicaciones en el Portal del Archivo Histórico</t>
  </si>
  <si>
    <t>Solicitud y/o búsqueda de documentos, copias simples y/o certificadas</t>
  </si>
  <si>
    <t>Archivo Histórico</t>
  </si>
  <si>
    <t>Nombre de Variable</t>
  </si>
  <si>
    <t>Ingreso por toma de fotografia</t>
  </si>
  <si>
    <t>Ingreso por cuota municipal por expedición de pasaportes</t>
  </si>
  <si>
    <t>Informacion para la inscripción de jovenes al SMN</t>
  </si>
  <si>
    <t>Expedición de Pasaportes</t>
  </si>
  <si>
    <t xml:space="preserve">6 - años </t>
  </si>
  <si>
    <t xml:space="preserve">10 - años </t>
  </si>
  <si>
    <t>Revisiones</t>
  </si>
  <si>
    <t>Personas Consignadas - Fuero Común</t>
  </si>
  <si>
    <t>Personas Consignadas - Fuero Federal</t>
  </si>
  <si>
    <t>Sesiones Ordinarias realizadas</t>
  </si>
  <si>
    <t>Sesiones Extraordinarias realizadas</t>
  </si>
  <si>
    <t>Sesiones Solemnes realizadas</t>
  </si>
  <si>
    <t>Permisos  expedidos para utilizar las áreas públicas</t>
  </si>
  <si>
    <t xml:space="preserve">Total </t>
  </si>
  <si>
    <t>…</t>
  </si>
  <si>
    <t>-</t>
  </si>
  <si>
    <t xml:space="preserve"> $ 278.817,00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</si>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</sst>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_(&quot;$&quot;* #,##0_);_(&quot;$&quot;* \(#,##0\);_(&quot;$&quot;* &quot;-&quot;??_);_(@_)"/>
    <numFmt numFmtId="167" formatCode="0.0"/>
    <numFmt numFmtId="168" formatCode="&quot;$&quot;#,##0"/>
    <numFmt numFmtId="169" formatCode="_-[$$-80A]* #,##0.00_-;\-[$$-80A]* #,##0.00_-;_-[$$-80A]* &quot;-&quot;??_-;_-@_-"/>
    <numFmt numFmtId="170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0"/>
      <name val="Cambria"/>
      <family val="1"/>
    </font>
    <font>
      <sz val="12"/>
      <name val="Cambria"/>
      <family val="1"/>
    </font>
    <font>
      <sz val="11"/>
      <color rgb="FF000000"/>
      <name val="Calibri"/>
      <family val="2"/>
    </font>
    <font>
      <sz val="12"/>
      <color theme="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F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/>
    <xf numFmtId="3" fontId="6" fillId="3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/>
    </xf>
    <xf numFmtId="0" fontId="4" fillId="2" borderId="0" xfId="0" applyFont="1" applyFill="1" applyAlignment="1">
      <alignment horizontal="justify"/>
    </xf>
    <xf numFmtId="2" fontId="4" fillId="0" borderId="1" xfId="0" applyNumberFormat="1" applyFont="1" applyFill="1" applyBorder="1" applyAlignment="1">
      <alignment horizontal="center" vertical="center"/>
    </xf>
    <xf numFmtId="164" fontId="6" fillId="3" borderId="1" xfId="5" applyNumberFormat="1" applyFont="1" applyFill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justify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6" fillId="0" borderId="1" xfId="5" applyFont="1" applyFill="1" applyBorder="1" applyAlignment="1">
      <alignment horizontal="center" vertical="center" wrapText="1"/>
    </xf>
    <xf numFmtId="164" fontId="6" fillId="0" borderId="1" xfId="5" applyFont="1" applyFill="1" applyBorder="1" applyAlignment="1">
      <alignment horizontal="center" vertical="center"/>
    </xf>
    <xf numFmtId="164" fontId="6" fillId="3" borderId="1" xfId="5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164" fontId="6" fillId="2" borderId="1" xfId="5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justify" vertical="center" wrapText="1"/>
    </xf>
    <xf numFmtId="166" fontId="6" fillId="2" borderId="1" xfId="5" applyNumberFormat="1" applyFont="1" applyFill="1" applyBorder="1" applyAlignment="1">
      <alignment horizontal="center" vertical="center" wrapText="1"/>
    </xf>
    <xf numFmtId="166" fontId="6" fillId="3" borderId="1" xfId="5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68" fontId="6" fillId="0" borderId="1" xfId="5" applyNumberFormat="1" applyFont="1" applyFill="1" applyBorder="1" applyAlignment="1">
      <alignment horizontal="center" vertical="center" wrapText="1"/>
    </xf>
    <xf numFmtId="168" fontId="6" fillId="2" borderId="1" xfId="5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9" fillId="2" borderId="1" xfId="5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164" fontId="9" fillId="3" borderId="1" xfId="5" applyFont="1" applyFill="1" applyBorder="1" applyAlignment="1">
      <alignment horizontal="center" vertical="center" wrapText="1"/>
    </xf>
    <xf numFmtId="1" fontId="6" fillId="0" borderId="1" xfId="5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 applyProtection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64" fontId="11" fillId="6" borderId="3" xfId="0" applyNumberFormat="1" applyFont="1" applyFill="1" applyBorder="1" applyAlignment="1">
      <alignment horizontal="center" vertical="center" wrapText="1"/>
    </xf>
    <xf numFmtId="44" fontId="11" fillId="5" borderId="3" xfId="11" applyNumberFormat="1" applyFont="1" applyFill="1" applyBorder="1" applyAlignment="1">
      <alignment horizontal="center" vertical="center" wrapText="1"/>
    </xf>
    <xf numFmtId="44" fontId="11" fillId="7" borderId="3" xfId="11" applyNumberFormat="1" applyFont="1" applyFill="1" applyBorder="1" applyAlignment="1">
      <alignment horizontal="center" vertical="center" wrapText="1"/>
    </xf>
    <xf numFmtId="169" fontId="6" fillId="0" borderId="1" xfId="5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70" fontId="6" fillId="3" borderId="1" xfId="5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70" fontId="6" fillId="2" borderId="1" xfId="5" applyNumberFormat="1" applyFont="1" applyFill="1" applyBorder="1" applyAlignment="1">
      <alignment horizontal="center" vertical="center" wrapText="1"/>
    </xf>
    <xf numFmtId="49" fontId="13" fillId="4" borderId="1" xfId="4" applyNumberFormat="1" applyFont="1" applyFill="1" applyBorder="1" applyAlignment="1" applyProtection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 applyProtection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 applyProtection="1">
      <alignment horizontal="center" vertical="center" wrapText="1"/>
    </xf>
    <xf numFmtId="170" fontId="6" fillId="3" borderId="1" xfId="7" applyNumberFormat="1" applyFont="1" applyFill="1" applyBorder="1" applyAlignment="1">
      <alignment horizontal="center" vertical="center" wrapText="1"/>
    </xf>
    <xf numFmtId="170" fontId="6" fillId="2" borderId="1" xfId="7" applyNumberFormat="1" applyFont="1" applyFill="1" applyBorder="1" applyAlignment="1">
      <alignment horizontal="center" vertical="center" wrapText="1"/>
    </xf>
    <xf numFmtId="170" fontId="6" fillId="0" borderId="1" xfId="7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7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48">
    <cellStyle name="Euro" xfId="2"/>
    <cellStyle name="Millares 2" xfId="3"/>
    <cellStyle name="Millares 2 2" xfId="6"/>
    <cellStyle name="Millares 2 2 2" xfId="9"/>
    <cellStyle name="Millares 2 2 2 2" xfId="16"/>
    <cellStyle name="Millares 2 2 2 2 2" xfId="28"/>
    <cellStyle name="Millares 2 2 2 2 3" xfId="46"/>
    <cellStyle name="Millares 2 2 2 3" xfId="22"/>
    <cellStyle name="Millares 2 2 2 4" xfId="34"/>
    <cellStyle name="Millares 2 2 2 5" xfId="40"/>
    <cellStyle name="Millares 2 2 3" xfId="13"/>
    <cellStyle name="Millares 2 2 3 2" xfId="25"/>
    <cellStyle name="Millares 2 2 3 3" xfId="43"/>
    <cellStyle name="Millares 2 2 4" xfId="19"/>
    <cellStyle name="Millares 2 2 5" xfId="31"/>
    <cellStyle name="Millares 2 2 6" xfId="37"/>
    <cellStyle name="Millares 2 3" xfId="8"/>
    <cellStyle name="Millares 2 3 2" xfId="15"/>
    <cellStyle name="Millares 2 3 2 2" xfId="27"/>
    <cellStyle name="Millares 2 3 2 3" xfId="45"/>
    <cellStyle name="Millares 2 3 3" xfId="21"/>
    <cellStyle name="Millares 2 3 4" xfId="33"/>
    <cellStyle name="Millares 2 3 5" xfId="39"/>
    <cellStyle name="Millares 2 4" xfId="12"/>
    <cellStyle name="Millares 2 4 2" xfId="24"/>
    <cellStyle name="Millares 2 4 3" xfId="42"/>
    <cellStyle name="Millares 2 5" xfId="18"/>
    <cellStyle name="Millares 2 6" xfId="30"/>
    <cellStyle name="Millares 2 7" xfId="36"/>
    <cellStyle name="Moneda" xfId="5" builtinId="4"/>
    <cellStyle name="Moneda 2" xfId="7"/>
    <cellStyle name="Moneda 2 2" xfId="10"/>
    <cellStyle name="Moneda 2 2 2" xfId="17"/>
    <cellStyle name="Moneda 2 2 2 2" xfId="29"/>
    <cellStyle name="Moneda 2 2 2 3" xfId="47"/>
    <cellStyle name="Moneda 2 2 3" xfId="23"/>
    <cellStyle name="Moneda 2 2 4" xfId="35"/>
    <cellStyle name="Moneda 2 2 5" xfId="41"/>
    <cellStyle name="Moneda 2 3" xfId="14"/>
    <cellStyle name="Moneda 2 3 2" xfId="26"/>
    <cellStyle name="Moneda 2 3 3" xfId="44"/>
    <cellStyle name="Moneda 2 4" xfId="20"/>
    <cellStyle name="Moneda 2 5" xfId="32"/>
    <cellStyle name="Moneda 2 6" xfId="38"/>
    <cellStyle name="Normal" xfId="0" builtinId="0"/>
    <cellStyle name="Normal 2" xfId="4"/>
    <cellStyle name="Normal 3" xfId="1"/>
    <cellStyle name="Normal 4" xfId="11"/>
  </cellStyles>
  <dxfs count="0"/>
  <tableStyles count="0" defaultTableStyle="TableStyleMedium2" defaultPivotStyle="PivotStyleLight16"/>
  <colors>
    <mruColors>
      <color rgb="FF006241"/>
      <color rgb="FFFF7175"/>
      <color rgb="FFCEA2D7"/>
      <color rgb="FF92D5AC"/>
      <color rgb="FF3F5588"/>
      <color rgb="FF618EB5"/>
      <color rgb="FF46797B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605176</xdr:colOff>
      <xdr:row>2</xdr:row>
      <xdr:rowOff>352423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20"/>
  <sheetViews>
    <sheetView zoomScale="70" zoomScaleNormal="70" zoomScaleSheetLayoutView="85" workbookViewId="0">
      <selection activeCell="G20" sqref="G20"/>
    </sheetView>
  </sheetViews>
  <sheetFormatPr baseColWidth="10" defaultRowHeight="15.75" x14ac:dyDescent="0.25"/>
  <cols>
    <col min="1" max="1" width="8.42578125" style="1" customWidth="1"/>
    <col min="2" max="2" width="53.710937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710937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3.75" customHeight="1" x14ac:dyDescent="0.25">
      <c r="A5" s="24">
        <v>1</v>
      </c>
      <c r="B5" s="18" t="s">
        <v>254</v>
      </c>
      <c r="C5" s="36">
        <v>3</v>
      </c>
      <c r="D5" s="36">
        <v>2</v>
      </c>
      <c r="E5" s="36">
        <v>2</v>
      </c>
      <c r="F5" s="36">
        <v>2</v>
      </c>
      <c r="G5" s="36">
        <v>2</v>
      </c>
      <c r="H5" s="36">
        <v>2</v>
      </c>
      <c r="I5" s="28">
        <v>2</v>
      </c>
      <c r="J5" s="36">
        <v>2</v>
      </c>
      <c r="K5" s="36">
        <v>2</v>
      </c>
      <c r="L5" s="28">
        <v>2</v>
      </c>
      <c r="M5" s="48">
        <v>2</v>
      </c>
      <c r="N5" s="53">
        <v>2</v>
      </c>
      <c r="O5" s="2">
        <f t="shared" ref="O5:O20" si="0">SUM(C5:N5)</f>
        <v>25</v>
      </c>
    </row>
    <row r="6" spans="1:15" ht="33.75" customHeight="1" x14ac:dyDescent="0.25">
      <c r="A6" s="24">
        <f>+A5+1</f>
        <v>2</v>
      </c>
      <c r="B6" s="18" t="s">
        <v>255</v>
      </c>
      <c r="C6" s="36">
        <v>0</v>
      </c>
      <c r="D6" s="36">
        <v>1</v>
      </c>
      <c r="E6" s="36">
        <v>0</v>
      </c>
      <c r="F6" s="36">
        <v>0</v>
      </c>
      <c r="G6" s="36">
        <v>0</v>
      </c>
      <c r="H6" s="36">
        <v>0</v>
      </c>
      <c r="I6" s="28">
        <v>0</v>
      </c>
      <c r="J6" s="36">
        <v>0</v>
      </c>
      <c r="K6" s="36">
        <v>0</v>
      </c>
      <c r="L6" s="28">
        <v>0</v>
      </c>
      <c r="M6" s="48">
        <v>0</v>
      </c>
      <c r="N6" s="53">
        <v>0</v>
      </c>
      <c r="O6" s="2">
        <f t="shared" si="0"/>
        <v>1</v>
      </c>
    </row>
    <row r="7" spans="1:15" ht="33.75" customHeight="1" x14ac:dyDescent="0.25">
      <c r="A7" s="24">
        <f t="shared" ref="A7:A15" si="1">+A6+1</f>
        <v>3</v>
      </c>
      <c r="B7" s="18" t="s">
        <v>256</v>
      </c>
      <c r="C7" s="36">
        <v>1</v>
      </c>
      <c r="D7" s="36">
        <v>0</v>
      </c>
      <c r="E7" s="36">
        <v>0</v>
      </c>
      <c r="F7" s="36">
        <v>1</v>
      </c>
      <c r="G7" s="36">
        <v>1</v>
      </c>
      <c r="H7" s="36">
        <v>0</v>
      </c>
      <c r="I7" s="28">
        <v>0</v>
      </c>
      <c r="J7" s="36">
        <v>0</v>
      </c>
      <c r="K7" s="36">
        <v>1</v>
      </c>
      <c r="L7" s="28">
        <v>2</v>
      </c>
      <c r="M7" s="48">
        <v>2</v>
      </c>
      <c r="N7" s="53">
        <v>2</v>
      </c>
      <c r="O7" s="2">
        <f t="shared" si="0"/>
        <v>10</v>
      </c>
    </row>
    <row r="8" spans="1:15" ht="33.75" customHeight="1" x14ac:dyDescent="0.25">
      <c r="A8" s="24">
        <f t="shared" si="1"/>
        <v>4</v>
      </c>
      <c r="B8" s="18" t="s">
        <v>231</v>
      </c>
      <c r="C8" s="36">
        <v>14</v>
      </c>
      <c r="D8" s="36">
        <v>19</v>
      </c>
      <c r="E8" s="36">
        <v>15</v>
      </c>
      <c r="F8" s="36">
        <v>13</v>
      </c>
      <c r="G8" s="36">
        <v>11</v>
      </c>
      <c r="H8" s="36">
        <v>17</v>
      </c>
      <c r="I8" s="28">
        <v>10</v>
      </c>
      <c r="J8" s="36">
        <v>11</v>
      </c>
      <c r="K8" s="36">
        <v>13</v>
      </c>
      <c r="L8" s="28">
        <v>13</v>
      </c>
      <c r="M8" s="48">
        <v>6</v>
      </c>
      <c r="N8" s="53">
        <v>10</v>
      </c>
      <c r="O8" s="2">
        <f t="shared" si="0"/>
        <v>152</v>
      </c>
    </row>
    <row r="9" spans="1:15" ht="33.75" customHeight="1" x14ac:dyDescent="0.25">
      <c r="A9" s="24">
        <f t="shared" si="1"/>
        <v>5</v>
      </c>
      <c r="B9" s="18" t="s">
        <v>232</v>
      </c>
      <c r="C9" s="36">
        <v>7</v>
      </c>
      <c r="D9" s="36">
        <v>3</v>
      </c>
      <c r="E9" s="36">
        <v>1</v>
      </c>
      <c r="F9" s="36">
        <v>6</v>
      </c>
      <c r="G9" s="36">
        <v>3</v>
      </c>
      <c r="H9" s="36">
        <v>5</v>
      </c>
      <c r="I9" s="28">
        <v>4</v>
      </c>
      <c r="J9" s="36">
        <v>3</v>
      </c>
      <c r="K9" s="36">
        <v>4</v>
      </c>
      <c r="L9" s="28">
        <v>4</v>
      </c>
      <c r="M9" s="48">
        <v>2</v>
      </c>
      <c r="N9" s="53">
        <v>2</v>
      </c>
      <c r="O9" s="2">
        <f t="shared" si="0"/>
        <v>44</v>
      </c>
    </row>
    <row r="10" spans="1:15" ht="33.75" customHeight="1" x14ac:dyDescent="0.25">
      <c r="A10" s="24">
        <f t="shared" si="1"/>
        <v>6</v>
      </c>
      <c r="B10" s="18" t="s">
        <v>233</v>
      </c>
      <c r="C10" s="36">
        <v>21</v>
      </c>
      <c r="D10" s="36">
        <v>22</v>
      </c>
      <c r="E10" s="36">
        <v>16</v>
      </c>
      <c r="F10" s="36">
        <v>19</v>
      </c>
      <c r="G10" s="36">
        <v>14</v>
      </c>
      <c r="H10" s="36">
        <v>22</v>
      </c>
      <c r="I10" s="28">
        <v>14</v>
      </c>
      <c r="J10" s="36">
        <v>14</v>
      </c>
      <c r="K10" s="36">
        <v>17</v>
      </c>
      <c r="L10" s="28">
        <v>17</v>
      </c>
      <c r="M10" s="48">
        <v>8</v>
      </c>
      <c r="N10" s="53">
        <v>12</v>
      </c>
      <c r="O10" s="2">
        <f>SUM(C10:N10)</f>
        <v>196</v>
      </c>
    </row>
    <row r="11" spans="1:15" ht="33.75" customHeight="1" x14ac:dyDescent="0.25">
      <c r="A11" s="24">
        <f t="shared" si="1"/>
        <v>7</v>
      </c>
      <c r="B11" s="18" t="s">
        <v>234</v>
      </c>
      <c r="C11" s="36">
        <v>17</v>
      </c>
      <c r="D11" s="36">
        <v>17</v>
      </c>
      <c r="E11" s="36">
        <v>17</v>
      </c>
      <c r="F11" s="36">
        <v>20</v>
      </c>
      <c r="G11" s="36">
        <v>9</v>
      </c>
      <c r="H11" s="36">
        <v>19</v>
      </c>
      <c r="I11" s="28">
        <v>13</v>
      </c>
      <c r="J11" s="36">
        <v>10</v>
      </c>
      <c r="K11" s="36">
        <v>14</v>
      </c>
      <c r="L11" s="28">
        <v>13</v>
      </c>
      <c r="M11" s="48">
        <v>16</v>
      </c>
      <c r="N11" s="52">
        <v>8</v>
      </c>
      <c r="O11" s="2">
        <f t="shared" si="0"/>
        <v>173</v>
      </c>
    </row>
    <row r="12" spans="1:15" ht="33.75" customHeight="1" x14ac:dyDescent="0.25">
      <c r="A12" s="24">
        <f t="shared" si="1"/>
        <v>8</v>
      </c>
      <c r="B12" s="18" t="s">
        <v>235</v>
      </c>
      <c r="C12" s="36">
        <v>17</v>
      </c>
      <c r="D12" s="36">
        <v>17</v>
      </c>
      <c r="E12" s="36">
        <v>17</v>
      </c>
      <c r="F12" s="36">
        <v>20</v>
      </c>
      <c r="G12" s="36">
        <v>9</v>
      </c>
      <c r="H12" s="36">
        <v>19</v>
      </c>
      <c r="I12" s="28">
        <v>13</v>
      </c>
      <c r="J12" s="36">
        <v>10</v>
      </c>
      <c r="K12" s="36">
        <v>14</v>
      </c>
      <c r="L12" s="28">
        <v>13</v>
      </c>
      <c r="M12" s="48">
        <v>16</v>
      </c>
      <c r="N12" s="52">
        <v>8</v>
      </c>
      <c r="O12" s="2">
        <f t="shared" si="0"/>
        <v>173</v>
      </c>
    </row>
    <row r="13" spans="1:15" ht="33.75" customHeight="1" x14ac:dyDescent="0.25">
      <c r="A13" s="24">
        <f t="shared" si="1"/>
        <v>9</v>
      </c>
      <c r="B13" s="18" t="s">
        <v>236</v>
      </c>
      <c r="C13" s="36">
        <v>3</v>
      </c>
      <c r="D13" s="36">
        <v>0</v>
      </c>
      <c r="E13" s="36">
        <v>0</v>
      </c>
      <c r="F13" s="36">
        <v>1</v>
      </c>
      <c r="G13" s="36">
        <v>0</v>
      </c>
      <c r="H13" s="36">
        <v>0</v>
      </c>
      <c r="I13" s="28">
        <v>0</v>
      </c>
      <c r="J13" s="36">
        <v>1</v>
      </c>
      <c r="K13" s="36">
        <v>0</v>
      </c>
      <c r="L13" s="28">
        <v>0</v>
      </c>
      <c r="M13" s="48">
        <v>0</v>
      </c>
      <c r="N13" s="53">
        <v>0</v>
      </c>
      <c r="O13" s="2">
        <f t="shared" si="0"/>
        <v>5</v>
      </c>
    </row>
    <row r="14" spans="1:15" ht="33.75" customHeight="1" x14ac:dyDescent="0.25">
      <c r="A14" s="24">
        <f t="shared" si="1"/>
        <v>10</v>
      </c>
      <c r="B14" s="18" t="s">
        <v>237</v>
      </c>
      <c r="C14" s="36">
        <v>8</v>
      </c>
      <c r="D14" s="36">
        <v>8</v>
      </c>
      <c r="E14" s="36">
        <v>11</v>
      </c>
      <c r="F14" s="36">
        <v>12</v>
      </c>
      <c r="G14" s="36">
        <v>6</v>
      </c>
      <c r="H14" s="36">
        <v>12</v>
      </c>
      <c r="I14" s="28">
        <v>7</v>
      </c>
      <c r="J14" s="36">
        <v>6</v>
      </c>
      <c r="K14" s="36">
        <v>11</v>
      </c>
      <c r="L14" s="28">
        <v>9</v>
      </c>
      <c r="M14" s="48">
        <v>12</v>
      </c>
      <c r="N14" s="53">
        <v>4</v>
      </c>
      <c r="O14" s="2">
        <f t="shared" si="0"/>
        <v>106</v>
      </c>
    </row>
    <row r="15" spans="1:15" ht="33.75" customHeight="1" x14ac:dyDescent="0.25">
      <c r="A15" s="24">
        <f t="shared" si="1"/>
        <v>11</v>
      </c>
      <c r="B15" s="18" t="s">
        <v>238</v>
      </c>
      <c r="C15" s="36">
        <v>14</v>
      </c>
      <c r="D15" s="36">
        <v>15</v>
      </c>
      <c r="E15" s="36">
        <v>12</v>
      </c>
      <c r="F15" s="36">
        <v>15</v>
      </c>
      <c r="G15" s="36">
        <v>8</v>
      </c>
      <c r="H15" s="36">
        <v>21</v>
      </c>
      <c r="I15" s="28">
        <v>10</v>
      </c>
      <c r="J15" s="36">
        <v>16</v>
      </c>
      <c r="K15" s="36">
        <v>18</v>
      </c>
      <c r="L15" s="28">
        <v>13</v>
      </c>
      <c r="M15" s="48">
        <v>11</v>
      </c>
      <c r="N15" s="53">
        <v>10</v>
      </c>
      <c r="O15" s="2">
        <f t="shared" si="0"/>
        <v>163</v>
      </c>
    </row>
    <row r="16" spans="1:15" ht="30" customHeight="1" x14ac:dyDescent="0.25">
      <c r="A16" s="37">
        <f>+A15+1</f>
        <v>12</v>
      </c>
      <c r="B16" s="37" t="s">
        <v>243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54"/>
      <c r="O16" s="37"/>
    </row>
    <row r="17" spans="1:15" ht="33.75" customHeight="1" x14ac:dyDescent="0.25">
      <c r="A17" s="24">
        <f>+A16+0.1</f>
        <v>12.1</v>
      </c>
      <c r="B17" s="18" t="s">
        <v>239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28">
        <v>0</v>
      </c>
      <c r="J17" s="36">
        <v>0</v>
      </c>
      <c r="K17" s="36">
        <v>0</v>
      </c>
      <c r="L17" s="28">
        <v>0</v>
      </c>
      <c r="M17" s="48">
        <v>0</v>
      </c>
      <c r="N17" s="53">
        <v>0</v>
      </c>
      <c r="O17" s="2">
        <f t="shared" si="0"/>
        <v>0</v>
      </c>
    </row>
    <row r="18" spans="1:15" ht="33.75" customHeight="1" x14ac:dyDescent="0.25">
      <c r="A18" s="24">
        <f>+A17+0.1</f>
        <v>12.2</v>
      </c>
      <c r="B18" s="18" t="s">
        <v>240</v>
      </c>
      <c r="C18" s="36">
        <v>56</v>
      </c>
      <c r="D18" s="36">
        <v>50</v>
      </c>
      <c r="E18" s="36">
        <v>46</v>
      </c>
      <c r="F18" s="36">
        <v>42</v>
      </c>
      <c r="G18" s="36">
        <v>78</v>
      </c>
      <c r="H18" s="36">
        <v>51</v>
      </c>
      <c r="I18" s="28">
        <v>50</v>
      </c>
      <c r="J18" s="36">
        <v>89</v>
      </c>
      <c r="K18" s="36">
        <v>57</v>
      </c>
      <c r="L18" s="28">
        <v>180</v>
      </c>
      <c r="M18" s="48">
        <v>60</v>
      </c>
      <c r="N18" s="53">
        <v>52</v>
      </c>
      <c r="O18" s="2">
        <f t="shared" si="0"/>
        <v>811</v>
      </c>
    </row>
    <row r="19" spans="1:15" ht="33.75" customHeight="1" x14ac:dyDescent="0.25">
      <c r="A19" s="24">
        <f>+A18+0.1</f>
        <v>12.299999999999999</v>
      </c>
      <c r="B19" s="3" t="s">
        <v>241</v>
      </c>
      <c r="C19" s="36">
        <v>23</v>
      </c>
      <c r="D19" s="36">
        <v>20</v>
      </c>
      <c r="E19" s="36">
        <v>21</v>
      </c>
      <c r="F19" s="36">
        <v>22</v>
      </c>
      <c r="G19" s="36">
        <v>23</v>
      </c>
      <c r="H19" s="36">
        <v>20</v>
      </c>
      <c r="I19" s="28">
        <v>23</v>
      </c>
      <c r="J19" s="36">
        <v>22</v>
      </c>
      <c r="K19" s="36">
        <v>21</v>
      </c>
      <c r="L19" s="28">
        <v>23</v>
      </c>
      <c r="M19" s="48">
        <v>20</v>
      </c>
      <c r="N19" s="53">
        <v>22</v>
      </c>
      <c r="O19" s="2">
        <f t="shared" si="0"/>
        <v>260</v>
      </c>
    </row>
    <row r="20" spans="1:15" ht="33.75" customHeight="1" x14ac:dyDescent="0.25">
      <c r="A20" s="24">
        <f>+A19+0.1</f>
        <v>12.399999999999999</v>
      </c>
      <c r="B20" s="18" t="s">
        <v>242</v>
      </c>
      <c r="C20" s="36">
        <v>8</v>
      </c>
      <c r="D20" s="36">
        <v>44</v>
      </c>
      <c r="E20" s="36">
        <v>2</v>
      </c>
      <c r="F20" s="36">
        <v>22</v>
      </c>
      <c r="G20" s="36">
        <v>4</v>
      </c>
      <c r="H20" s="36">
        <v>8</v>
      </c>
      <c r="I20" s="28">
        <v>17</v>
      </c>
      <c r="J20" s="36">
        <v>10</v>
      </c>
      <c r="K20" s="36">
        <v>11</v>
      </c>
      <c r="L20" s="28">
        <v>13</v>
      </c>
      <c r="M20" s="48">
        <v>2</v>
      </c>
      <c r="N20" s="53">
        <v>4</v>
      </c>
      <c r="O20" s="2">
        <f t="shared" si="0"/>
        <v>145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"/>
  <sheetViews>
    <sheetView zoomScale="90" zoomScaleNormal="90" zoomScaleSheetLayoutView="70" workbookViewId="0">
      <selection activeCell="N11" sqref="N11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2.8554687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43.5" customHeight="1" x14ac:dyDescent="0.25">
      <c r="A5" s="17">
        <v>1</v>
      </c>
      <c r="B5" s="18" t="s">
        <v>257</v>
      </c>
      <c r="C5" s="36">
        <v>11</v>
      </c>
      <c r="D5" s="36">
        <v>7</v>
      </c>
      <c r="E5" s="36">
        <v>7</v>
      </c>
      <c r="F5" s="36">
        <v>18</v>
      </c>
      <c r="G5" s="36">
        <v>12</v>
      </c>
      <c r="H5" s="16">
        <v>21</v>
      </c>
      <c r="I5" s="16">
        <v>22</v>
      </c>
      <c r="J5" s="16">
        <v>12</v>
      </c>
      <c r="K5" s="36">
        <v>10</v>
      </c>
      <c r="L5" s="48">
        <v>13</v>
      </c>
      <c r="M5" s="48">
        <v>10</v>
      </c>
      <c r="N5" s="55">
        <v>7</v>
      </c>
      <c r="O5" s="2">
        <f>SUM(C5:N5)</f>
        <v>150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36"/>
  <sheetViews>
    <sheetView zoomScale="64" zoomScaleNormal="64" zoomScaleSheetLayoutView="70" workbookViewId="0">
      <selection activeCell="J19" sqref="J19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10" width="16.5703125" style="1" customWidth="1"/>
    <col min="11" max="11" width="18" style="1" customWidth="1"/>
    <col min="12" max="12" width="17.28515625" style="1" bestFit="1" customWidth="1"/>
    <col min="13" max="13" width="18" style="1" customWidth="1"/>
    <col min="14" max="14" width="17.140625" style="1" bestFit="1" customWidth="1"/>
    <col min="15" max="15" width="17.710937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54.75" customHeight="1" x14ac:dyDescent="0.25">
      <c r="A5" s="25">
        <v>1</v>
      </c>
      <c r="B5" s="3" t="s">
        <v>5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">
        <f>SUM(C5:N5)</f>
        <v>0</v>
      </c>
    </row>
    <row r="6" spans="1:15" ht="63" x14ac:dyDescent="0.25">
      <c r="A6" s="25">
        <f>+A5+1</f>
        <v>2</v>
      </c>
      <c r="B6" s="3" t="s">
        <v>4</v>
      </c>
      <c r="C6" s="27">
        <v>0</v>
      </c>
      <c r="D6" s="27">
        <v>14</v>
      </c>
      <c r="E6" s="27">
        <v>6</v>
      </c>
      <c r="F6" s="27">
        <v>88</v>
      </c>
      <c r="G6" s="27">
        <v>55</v>
      </c>
      <c r="H6" s="27">
        <v>40</v>
      </c>
      <c r="I6" s="27">
        <v>6</v>
      </c>
      <c r="J6" s="27">
        <v>12</v>
      </c>
      <c r="K6" s="27">
        <v>18</v>
      </c>
      <c r="L6" s="27">
        <v>608</v>
      </c>
      <c r="M6" s="27">
        <v>122</v>
      </c>
      <c r="N6" s="27">
        <v>98</v>
      </c>
      <c r="O6" s="2">
        <f>SUM(C6:N6)</f>
        <v>1067</v>
      </c>
    </row>
    <row r="7" spans="1:15" ht="30" customHeight="1" x14ac:dyDescent="0.25">
      <c r="A7" s="25">
        <f>+A6+1</f>
        <v>3</v>
      </c>
      <c r="B7" s="3" t="s">
        <v>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">
        <f>SUM(C7:N7)</f>
        <v>0</v>
      </c>
    </row>
    <row r="8" spans="1:15" ht="30" customHeight="1" x14ac:dyDescent="0.25">
      <c r="A8" s="37">
        <f>+A7+1</f>
        <v>4</v>
      </c>
      <c r="B8" s="37" t="s">
        <v>14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30" customHeight="1" x14ac:dyDescent="0.25">
      <c r="A9" s="24">
        <f>+A8+0.1</f>
        <v>4.0999999999999996</v>
      </c>
      <c r="B9" s="18" t="s">
        <v>7</v>
      </c>
      <c r="C9" s="36">
        <v>155</v>
      </c>
      <c r="D9" s="36">
        <v>140</v>
      </c>
      <c r="E9" s="36">
        <v>155</v>
      </c>
      <c r="F9" s="36">
        <v>150</v>
      </c>
      <c r="G9" s="36">
        <v>155</v>
      </c>
      <c r="H9" s="36">
        <v>150</v>
      </c>
      <c r="I9" s="28">
        <v>155</v>
      </c>
      <c r="J9" s="36">
        <v>155</v>
      </c>
      <c r="K9" s="36">
        <v>150</v>
      </c>
      <c r="L9" s="36">
        <v>155</v>
      </c>
      <c r="M9" s="48">
        <v>150</v>
      </c>
      <c r="N9" s="48">
        <v>155</v>
      </c>
      <c r="O9" s="2">
        <f>SUM(C9:N9)</f>
        <v>1825</v>
      </c>
    </row>
    <row r="10" spans="1:15" ht="30" customHeight="1" x14ac:dyDescent="0.25">
      <c r="A10" s="24">
        <f>+A9+0.1</f>
        <v>4.1999999999999993</v>
      </c>
      <c r="B10" s="18" t="s">
        <v>8</v>
      </c>
      <c r="C10" s="36">
        <v>31</v>
      </c>
      <c r="D10" s="36">
        <v>28</v>
      </c>
      <c r="E10" s="36">
        <v>31</v>
      </c>
      <c r="F10" s="36">
        <v>30</v>
      </c>
      <c r="G10" s="36">
        <v>31</v>
      </c>
      <c r="H10" s="36">
        <v>31</v>
      </c>
      <c r="I10" s="28">
        <v>31</v>
      </c>
      <c r="J10" s="36">
        <v>31</v>
      </c>
      <c r="K10" s="36">
        <v>30</v>
      </c>
      <c r="L10" s="36">
        <v>31</v>
      </c>
      <c r="M10" s="48">
        <v>30</v>
      </c>
      <c r="N10" s="48">
        <v>31</v>
      </c>
      <c r="O10" s="2">
        <f>SUM(C10:N10)</f>
        <v>366</v>
      </c>
    </row>
    <row r="11" spans="1:15" ht="30" customHeight="1" x14ac:dyDescent="0.25">
      <c r="A11" s="24">
        <f>+A10+0.1</f>
        <v>4.2999999999999989</v>
      </c>
      <c r="B11" s="9" t="s">
        <v>24</v>
      </c>
      <c r="C11" s="2">
        <v>186</v>
      </c>
      <c r="D11" s="36">
        <v>168</v>
      </c>
      <c r="E11" s="2">
        <v>186</v>
      </c>
      <c r="F11" s="2">
        <v>180</v>
      </c>
      <c r="G11" s="2">
        <v>186</v>
      </c>
      <c r="H11" s="2">
        <v>186</v>
      </c>
      <c r="I11" s="2">
        <v>186</v>
      </c>
      <c r="J11" s="2">
        <v>186</v>
      </c>
      <c r="K11" s="2">
        <v>180</v>
      </c>
      <c r="L11" s="2">
        <v>186</v>
      </c>
      <c r="M11" s="2">
        <v>180</v>
      </c>
      <c r="N11" s="2">
        <v>186</v>
      </c>
      <c r="O11" s="2">
        <f>SUM(C11:N11)</f>
        <v>2196</v>
      </c>
    </row>
    <row r="12" spans="1:15" ht="30" customHeight="1" x14ac:dyDescent="0.25">
      <c r="A12" s="37">
        <f>+A8+1</f>
        <v>5</v>
      </c>
      <c r="B12" s="37" t="s">
        <v>29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30" customHeight="1" x14ac:dyDescent="0.25">
      <c r="A13" s="25">
        <f>+A12+0.1</f>
        <v>5.0999999999999996</v>
      </c>
      <c r="B13" s="3" t="s">
        <v>25</v>
      </c>
      <c r="C13" s="27">
        <v>482</v>
      </c>
      <c r="D13" s="27">
        <v>648</v>
      </c>
      <c r="E13" s="27">
        <v>477</v>
      </c>
      <c r="F13" s="27">
        <v>631</v>
      </c>
      <c r="G13" s="27">
        <v>625</v>
      </c>
      <c r="H13" s="27">
        <v>564</v>
      </c>
      <c r="I13" s="27">
        <v>1015</v>
      </c>
      <c r="J13" s="27">
        <v>643</v>
      </c>
      <c r="K13" s="27">
        <v>864</v>
      </c>
      <c r="L13" s="27">
        <v>1632</v>
      </c>
      <c r="M13" s="27">
        <v>919</v>
      </c>
      <c r="N13" s="27">
        <v>542</v>
      </c>
      <c r="O13" s="2">
        <f>SUM(C13:N13)</f>
        <v>9042</v>
      </c>
    </row>
    <row r="14" spans="1:15" ht="30" customHeight="1" x14ac:dyDescent="0.25">
      <c r="A14" s="25">
        <f>+A13+0.1</f>
        <v>5.1999999999999993</v>
      </c>
      <c r="B14" s="3" t="s">
        <v>31</v>
      </c>
      <c r="C14" s="27">
        <v>40</v>
      </c>
      <c r="D14" s="27">
        <v>63</v>
      </c>
      <c r="E14" s="27">
        <v>62</v>
      </c>
      <c r="F14" s="27">
        <v>46</v>
      </c>
      <c r="G14" s="27">
        <v>60</v>
      </c>
      <c r="H14" s="27">
        <v>55</v>
      </c>
      <c r="I14" s="27">
        <v>60</v>
      </c>
      <c r="J14" s="27">
        <v>63</v>
      </c>
      <c r="K14" s="27">
        <v>51</v>
      </c>
      <c r="L14" s="27">
        <v>60</v>
      </c>
      <c r="M14" s="27">
        <v>55</v>
      </c>
      <c r="N14" s="27">
        <v>16</v>
      </c>
      <c r="O14" s="2">
        <f>SUM(C14:N14)</f>
        <v>631</v>
      </c>
    </row>
    <row r="15" spans="1:15" ht="30" customHeight="1" x14ac:dyDescent="0.25">
      <c r="A15" s="25">
        <f>+A14+0.1</f>
        <v>5.2999999999999989</v>
      </c>
      <c r="B15" s="3" t="s">
        <v>32</v>
      </c>
      <c r="C15" s="27">
        <v>40</v>
      </c>
      <c r="D15" s="27">
        <v>63</v>
      </c>
      <c r="E15" s="27">
        <v>62</v>
      </c>
      <c r="F15" s="27">
        <v>46</v>
      </c>
      <c r="G15" s="27">
        <v>60</v>
      </c>
      <c r="H15" s="27">
        <v>55</v>
      </c>
      <c r="I15" s="27">
        <v>60</v>
      </c>
      <c r="J15" s="27">
        <v>63</v>
      </c>
      <c r="K15" s="27">
        <v>51</v>
      </c>
      <c r="L15" s="27">
        <v>60</v>
      </c>
      <c r="M15" s="27">
        <v>55</v>
      </c>
      <c r="N15" s="27">
        <v>16</v>
      </c>
      <c r="O15" s="2">
        <f>SUM(C15:N15)</f>
        <v>631</v>
      </c>
    </row>
    <row r="16" spans="1:15" ht="30" customHeight="1" x14ac:dyDescent="0.25">
      <c r="A16" s="37">
        <f>+A12+1</f>
        <v>6</v>
      </c>
      <c r="B16" s="37" t="s">
        <v>30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ht="30" customHeight="1" x14ac:dyDescent="0.25">
      <c r="A17" s="25">
        <f>+A16+0.1</f>
        <v>6.1</v>
      </c>
      <c r="B17" s="3" t="s">
        <v>26</v>
      </c>
      <c r="C17" s="27">
        <v>224</v>
      </c>
      <c r="D17" s="27">
        <v>272</v>
      </c>
      <c r="E17" s="27">
        <v>411</v>
      </c>
      <c r="F17" s="27">
        <v>255</v>
      </c>
      <c r="G17" s="27">
        <v>532</v>
      </c>
      <c r="H17" s="27">
        <v>925</v>
      </c>
      <c r="I17" s="27">
        <v>666</v>
      </c>
      <c r="J17" s="27">
        <v>546</v>
      </c>
      <c r="K17" s="27">
        <v>534</v>
      </c>
      <c r="L17" s="27">
        <v>575</v>
      </c>
      <c r="M17" s="27">
        <v>560</v>
      </c>
      <c r="N17" s="27">
        <v>695</v>
      </c>
      <c r="O17" s="2">
        <f>SUM(C17:N17)</f>
        <v>6195</v>
      </c>
    </row>
    <row r="18" spans="1:15" ht="30" customHeight="1" x14ac:dyDescent="0.25">
      <c r="A18" s="25">
        <f>+A17+0.1</f>
        <v>6.1999999999999993</v>
      </c>
      <c r="B18" s="3" t="s">
        <v>27</v>
      </c>
      <c r="C18" s="27">
        <v>6</v>
      </c>
      <c r="D18" s="27">
        <v>10</v>
      </c>
      <c r="E18" s="27">
        <v>2</v>
      </c>
      <c r="F18" s="27">
        <v>2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">
        <f>SUM(C18:N18)</f>
        <v>20</v>
      </c>
    </row>
    <row r="19" spans="1:15" ht="30" customHeight="1" x14ac:dyDescent="0.25">
      <c r="A19" s="25">
        <f>+A18+0.1</f>
        <v>6.2999999999999989</v>
      </c>
      <c r="B19" s="3" t="s">
        <v>28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">
        <f>SUM(C19:N19)</f>
        <v>0</v>
      </c>
    </row>
    <row r="20" spans="1:15" ht="30" customHeight="1" x14ac:dyDescent="0.25">
      <c r="A20" s="25">
        <f>+A19+0.1</f>
        <v>6.3999999999999986</v>
      </c>
      <c r="B20" s="3" t="s">
        <v>3</v>
      </c>
      <c r="C20" s="27">
        <v>437</v>
      </c>
      <c r="D20" s="27">
        <v>437</v>
      </c>
      <c r="E20" s="27">
        <v>228</v>
      </c>
      <c r="F20" s="27">
        <v>269</v>
      </c>
      <c r="G20" s="27">
        <v>171</v>
      </c>
      <c r="H20" s="27">
        <v>89</v>
      </c>
      <c r="I20" s="27">
        <v>7</v>
      </c>
      <c r="J20" s="27">
        <v>6</v>
      </c>
      <c r="K20" s="27">
        <v>10</v>
      </c>
      <c r="L20" s="27">
        <v>10</v>
      </c>
      <c r="M20" s="27">
        <v>3</v>
      </c>
      <c r="N20" s="35">
        <v>4</v>
      </c>
      <c r="O20" s="2">
        <f>SUM(C20:N20)</f>
        <v>1671</v>
      </c>
    </row>
    <row r="21" spans="1:15" ht="30" customHeight="1" x14ac:dyDescent="0.25">
      <c r="A21" s="37">
        <f>+A16+1</f>
        <v>7</v>
      </c>
      <c r="B21" s="37" t="s">
        <v>15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30" customHeight="1" x14ac:dyDescent="0.25">
      <c r="A22" s="25">
        <f>+A21+0.1</f>
        <v>7.1</v>
      </c>
      <c r="B22" s="3" t="s">
        <v>16</v>
      </c>
      <c r="C22" s="8">
        <v>186750.2</v>
      </c>
      <c r="D22" s="8">
        <v>235981.01</v>
      </c>
      <c r="E22" s="8">
        <v>174725.42</v>
      </c>
      <c r="F22" s="8">
        <v>145322.79999999999</v>
      </c>
      <c r="G22" s="8">
        <v>136028.47</v>
      </c>
      <c r="H22" s="8">
        <v>254839.31</v>
      </c>
      <c r="I22" s="8">
        <v>202286.87</v>
      </c>
      <c r="J22" s="8">
        <v>95607.72</v>
      </c>
      <c r="K22" s="8">
        <v>94837.78</v>
      </c>
      <c r="L22" s="8">
        <v>111104.35</v>
      </c>
      <c r="M22" s="8">
        <v>76211.98</v>
      </c>
      <c r="N22" s="8">
        <v>73421.19</v>
      </c>
      <c r="O22" s="7">
        <f t="shared" ref="O22:O29" si="0">SUM(C22:N22)</f>
        <v>1787117.1</v>
      </c>
    </row>
    <row r="23" spans="1:15" ht="30" customHeight="1" x14ac:dyDescent="0.25">
      <c r="A23" s="25">
        <f t="shared" ref="A23:A29" si="1">+A22+0.1</f>
        <v>7.1999999999999993</v>
      </c>
      <c r="B23" s="3" t="s">
        <v>23</v>
      </c>
      <c r="C23" s="8">
        <v>22520.19</v>
      </c>
      <c r="D23" s="8">
        <v>23911.96</v>
      </c>
      <c r="E23" s="8">
        <v>22334.7</v>
      </c>
      <c r="F23" s="8">
        <v>20644.400000000001</v>
      </c>
      <c r="G23" s="8">
        <v>28713.49</v>
      </c>
      <c r="H23" s="8">
        <v>15534.4</v>
      </c>
      <c r="I23" s="8">
        <v>41898.99</v>
      </c>
      <c r="J23" s="44">
        <v>22688.400000000001</v>
      </c>
      <c r="K23" s="8">
        <v>21564.2</v>
      </c>
      <c r="L23" s="8">
        <v>25117.65</v>
      </c>
      <c r="M23" s="8">
        <v>23608.2</v>
      </c>
      <c r="N23" s="8">
        <v>22279.8</v>
      </c>
      <c r="O23" s="7">
        <f t="shared" si="0"/>
        <v>290816.38</v>
      </c>
    </row>
    <row r="24" spans="1:15" ht="30" customHeight="1" x14ac:dyDescent="0.25">
      <c r="A24" s="25">
        <f t="shared" si="1"/>
        <v>7.2999999999999989</v>
      </c>
      <c r="B24" s="3" t="s">
        <v>17</v>
      </c>
      <c r="C24" s="8">
        <v>22715.17</v>
      </c>
      <c r="D24" s="8">
        <v>26553.85</v>
      </c>
      <c r="E24" s="8">
        <v>20369.79</v>
      </c>
      <c r="F24" s="8">
        <v>47655.8</v>
      </c>
      <c r="G24" s="8">
        <v>69171.66</v>
      </c>
      <c r="H24" s="8">
        <v>29004.959999999999</v>
      </c>
      <c r="I24" s="8">
        <v>15850.55</v>
      </c>
      <c r="J24" s="44">
        <v>21852.84</v>
      </c>
      <c r="K24" s="8">
        <v>41175.22</v>
      </c>
      <c r="L24" s="8">
        <v>503410.77</v>
      </c>
      <c r="M24" s="8">
        <v>192275.62</v>
      </c>
      <c r="N24" s="8">
        <v>162412.97</v>
      </c>
      <c r="O24" s="7">
        <f t="shared" si="0"/>
        <v>1152449.2</v>
      </c>
    </row>
    <row r="25" spans="1:15" ht="30" customHeight="1" x14ac:dyDescent="0.25">
      <c r="A25" s="25">
        <f t="shared" si="1"/>
        <v>7.3999999999999986</v>
      </c>
      <c r="B25" s="3" t="s">
        <v>22</v>
      </c>
      <c r="C25" s="8">
        <v>132667</v>
      </c>
      <c r="D25" s="8">
        <v>126425.60000000001</v>
      </c>
      <c r="E25" s="8">
        <v>122759.61</v>
      </c>
      <c r="F25" s="8">
        <v>111357.82</v>
      </c>
      <c r="G25" s="8">
        <v>152054.76999999999</v>
      </c>
      <c r="H25" s="8">
        <v>85841.84</v>
      </c>
      <c r="I25" s="8">
        <v>148740.82999999999</v>
      </c>
      <c r="J25" s="44">
        <v>123355.36</v>
      </c>
      <c r="K25" s="8">
        <v>118877.43</v>
      </c>
      <c r="L25" s="8">
        <v>133604.82999999999</v>
      </c>
      <c r="M25" s="8">
        <v>128509.25</v>
      </c>
      <c r="N25" s="8">
        <v>118623.96</v>
      </c>
      <c r="O25" s="7">
        <f t="shared" si="0"/>
        <v>1502818.3</v>
      </c>
    </row>
    <row r="26" spans="1:15" ht="30" customHeight="1" x14ac:dyDescent="0.25">
      <c r="A26" s="25">
        <f t="shared" si="1"/>
        <v>7.4999999999999982</v>
      </c>
      <c r="B26" s="3" t="s">
        <v>21</v>
      </c>
      <c r="C26" s="8">
        <v>84671.73</v>
      </c>
      <c r="D26" s="8">
        <v>193286.7</v>
      </c>
      <c r="E26" s="8">
        <v>225397.76000000001</v>
      </c>
      <c r="F26" s="8">
        <v>83314.7</v>
      </c>
      <c r="G26" s="8">
        <v>406192.7</v>
      </c>
      <c r="H26" s="8">
        <v>230672.17</v>
      </c>
      <c r="I26" s="8">
        <v>237095.72</v>
      </c>
      <c r="J26" s="44">
        <v>457875.1</v>
      </c>
      <c r="K26" s="8">
        <v>0</v>
      </c>
      <c r="L26" s="8">
        <v>467536.79</v>
      </c>
      <c r="M26" s="8">
        <v>858401.74</v>
      </c>
      <c r="N26" s="8">
        <v>350278.85</v>
      </c>
      <c r="O26" s="7">
        <f t="shared" si="0"/>
        <v>3594723.9600000004</v>
      </c>
    </row>
    <row r="27" spans="1:15" ht="30" customHeight="1" x14ac:dyDescent="0.25">
      <c r="A27" s="25">
        <f t="shared" si="1"/>
        <v>7.5999999999999979</v>
      </c>
      <c r="B27" s="3" t="s">
        <v>20</v>
      </c>
      <c r="C27" s="8">
        <v>597.70000000000005</v>
      </c>
      <c r="D27" s="8">
        <v>597.70000000000005</v>
      </c>
      <c r="E27" s="8">
        <v>597.70000000000005</v>
      </c>
      <c r="F27" s="8">
        <v>10683.32</v>
      </c>
      <c r="G27" s="8">
        <v>597.70000000000005</v>
      </c>
      <c r="H27" s="8">
        <v>5196.6099999999997</v>
      </c>
      <c r="I27" s="8">
        <v>10340.07</v>
      </c>
      <c r="J27" s="44">
        <v>9012.1200000000008</v>
      </c>
      <c r="K27" s="8">
        <v>0</v>
      </c>
      <c r="L27" s="8">
        <v>0</v>
      </c>
      <c r="M27" s="8"/>
      <c r="N27" s="8">
        <v>3065.36</v>
      </c>
      <c r="O27" s="7">
        <f t="shared" si="0"/>
        <v>40688.28</v>
      </c>
    </row>
    <row r="28" spans="1:15" ht="30" customHeight="1" x14ac:dyDescent="0.25">
      <c r="A28" s="25">
        <f t="shared" si="1"/>
        <v>7.6999999999999975</v>
      </c>
      <c r="B28" s="3" t="s">
        <v>19</v>
      </c>
      <c r="C28" s="8">
        <v>5838</v>
      </c>
      <c r="D28" s="8">
        <v>5571</v>
      </c>
      <c r="E28" s="8">
        <v>5283</v>
      </c>
      <c r="F28" s="8">
        <v>5462</v>
      </c>
      <c r="G28" s="8">
        <v>5219</v>
      </c>
      <c r="H28" s="8">
        <v>5088</v>
      </c>
      <c r="I28" s="8">
        <v>5585</v>
      </c>
      <c r="J28" s="44">
        <v>4120</v>
      </c>
      <c r="K28" s="8">
        <v>4200</v>
      </c>
      <c r="L28" s="8">
        <v>154249</v>
      </c>
      <c r="M28" s="8">
        <v>4185</v>
      </c>
      <c r="N28" s="8">
        <v>1598</v>
      </c>
      <c r="O28" s="7">
        <f t="shared" si="0"/>
        <v>206398</v>
      </c>
    </row>
    <row r="29" spans="1:15" ht="30" customHeight="1" x14ac:dyDescent="0.25">
      <c r="A29" s="26">
        <f t="shared" si="1"/>
        <v>7.7999999999999972</v>
      </c>
      <c r="B29" s="9" t="s">
        <v>18</v>
      </c>
      <c r="C29" s="7">
        <v>455759.99</v>
      </c>
      <c r="D29" s="7">
        <v>612327.82000000007</v>
      </c>
      <c r="E29" s="7">
        <v>571467.98</v>
      </c>
      <c r="F29" s="7">
        <v>424440.84</v>
      </c>
      <c r="G29" s="7">
        <f>SUM(G22:G28)</f>
        <v>797977.79</v>
      </c>
      <c r="H29" s="7">
        <f>SUM(H22:H28)</f>
        <v>626177.29</v>
      </c>
      <c r="I29" s="7">
        <v>661798.02999999991</v>
      </c>
      <c r="J29" s="7">
        <v>734511.54</v>
      </c>
      <c r="K29" s="7">
        <f t="shared" ref="K29:L29" si="2">SUM(K22:K28)</f>
        <v>280654.63</v>
      </c>
      <c r="L29" s="7">
        <f t="shared" si="2"/>
        <v>1395023.39</v>
      </c>
      <c r="M29" s="7">
        <f>SUM(M22:M28)</f>
        <v>1283191.79</v>
      </c>
      <c r="N29" s="7">
        <f>SUM(N22:N28)</f>
        <v>731680.13</v>
      </c>
      <c r="O29" s="7">
        <f t="shared" si="0"/>
        <v>8575011.2199999988</v>
      </c>
    </row>
    <row r="30" spans="1:15" ht="10.5" customHeight="1" x14ac:dyDescent="0.25"/>
    <row r="31" spans="1:15" x14ac:dyDescent="0.25">
      <c r="A31" s="4" t="s">
        <v>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s="11" customFormat="1" ht="21.75" customHeight="1" x14ac:dyDescent="0.25">
      <c r="A32" s="66" t="s">
        <v>11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s="11" customFormat="1" ht="22.5" customHeight="1" x14ac:dyDescent="0.25">
      <c r="A33" s="66" t="s">
        <v>10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s="11" customFormat="1" ht="32.25" customHeight="1" x14ac:dyDescent="0.25">
      <c r="A34" s="66" t="s">
        <v>13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s="11" customFormat="1" ht="24.75" customHeight="1" x14ac:dyDescent="0.25">
      <c r="A35" s="66" t="s">
        <v>12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11" customFormat="1" ht="33.7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</sheetData>
  <mergeCells count="8">
    <mergeCell ref="A1:O1"/>
    <mergeCell ref="A2:O2"/>
    <mergeCell ref="A3:O3"/>
    <mergeCell ref="A35:O35"/>
    <mergeCell ref="A36:O36"/>
    <mergeCell ref="A32:O32"/>
    <mergeCell ref="A33:O33"/>
    <mergeCell ref="A34:O34"/>
  </mergeCells>
  <pageMargins left="0.23622047244094491" right="0.23622047244094491" top="0.19685039370078741" bottom="0.19685039370078741" header="0.11811023622047245" footer="0.11811023622047245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122"/>
  <sheetViews>
    <sheetView tabSelected="1" zoomScale="80" zoomScaleNormal="80" zoomScaleSheetLayoutView="70" workbookViewId="0">
      <selection activeCell="B5" sqref="B5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4" width="17" style="1" customWidth="1"/>
    <col min="5" max="5" width="16.28515625" style="1" bestFit="1" customWidth="1"/>
    <col min="6" max="6" width="15.85546875" style="1" customWidth="1"/>
    <col min="7" max="10" width="16.85546875" style="1" bestFit="1" customWidth="1"/>
    <col min="11" max="11" width="20.140625" style="1" customWidth="1"/>
    <col min="12" max="12" width="15.85546875" style="1" customWidth="1"/>
    <col min="13" max="13" width="19" style="1" bestFit="1" customWidth="1"/>
    <col min="14" max="14" width="18.28515625" style="1" bestFit="1" customWidth="1"/>
    <col min="15" max="15" width="18.42578125" style="1" bestFit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3" customHeight="1" x14ac:dyDescent="0.25">
      <c r="A5" s="24">
        <v>1</v>
      </c>
      <c r="B5" s="18" t="s">
        <v>33</v>
      </c>
      <c r="C5" s="36">
        <v>3</v>
      </c>
      <c r="D5" s="36">
        <v>4</v>
      </c>
      <c r="E5" s="36">
        <v>14</v>
      </c>
      <c r="F5" s="36">
        <v>6</v>
      </c>
      <c r="G5" s="36">
        <v>3</v>
      </c>
      <c r="H5" s="36">
        <v>11</v>
      </c>
      <c r="I5" s="36">
        <v>19</v>
      </c>
      <c r="J5" s="36">
        <v>16</v>
      </c>
      <c r="K5" s="36">
        <v>8</v>
      </c>
      <c r="L5" s="48">
        <v>11</v>
      </c>
      <c r="M5" s="48">
        <v>12</v>
      </c>
      <c r="N5" s="58">
        <v>5</v>
      </c>
      <c r="O5" s="2">
        <f>SUM(C5:N5)</f>
        <v>112</v>
      </c>
    </row>
    <row r="6" spans="1:15" ht="33" customHeight="1" x14ac:dyDescent="0.25">
      <c r="A6" s="24">
        <f>+A5+1</f>
        <v>2</v>
      </c>
      <c r="B6" s="18" t="s">
        <v>34</v>
      </c>
      <c r="C6" s="36">
        <v>2</v>
      </c>
      <c r="D6" s="36">
        <v>0</v>
      </c>
      <c r="E6" s="36">
        <v>5</v>
      </c>
      <c r="F6" s="36">
        <v>17</v>
      </c>
      <c r="G6" s="36">
        <v>27</v>
      </c>
      <c r="H6" s="36">
        <v>7</v>
      </c>
      <c r="I6" s="36">
        <v>0</v>
      </c>
      <c r="J6" s="36">
        <v>6</v>
      </c>
      <c r="K6" s="36">
        <v>16</v>
      </c>
      <c r="L6" s="48">
        <v>22</v>
      </c>
      <c r="M6" s="48">
        <v>35</v>
      </c>
      <c r="N6" s="58">
        <v>32</v>
      </c>
      <c r="O6" s="2">
        <f>SUM(C6:N6)</f>
        <v>169</v>
      </c>
    </row>
    <row r="7" spans="1:15" ht="33" customHeight="1" x14ac:dyDescent="0.25">
      <c r="A7" s="24">
        <v>3</v>
      </c>
      <c r="B7" s="18" t="s">
        <v>35</v>
      </c>
      <c r="C7" s="36">
        <v>141</v>
      </c>
      <c r="D7" s="36">
        <v>275</v>
      </c>
      <c r="E7" s="36">
        <v>324</v>
      </c>
      <c r="F7" s="36">
        <v>217</v>
      </c>
      <c r="G7" s="36">
        <v>210</v>
      </c>
      <c r="H7" s="36">
        <v>132</v>
      </c>
      <c r="I7" s="36">
        <v>156</v>
      </c>
      <c r="J7" s="36">
        <v>173</v>
      </c>
      <c r="K7" s="36">
        <v>150</v>
      </c>
      <c r="L7" s="48">
        <v>180</v>
      </c>
      <c r="M7" s="48">
        <v>235</v>
      </c>
      <c r="N7" s="58">
        <v>299</v>
      </c>
      <c r="O7" s="2">
        <f>SUM(C7:N7)</f>
        <v>2492</v>
      </c>
    </row>
    <row r="8" spans="1:15" ht="33" customHeight="1" x14ac:dyDescent="0.25">
      <c r="A8" s="24">
        <f>+A7+1</f>
        <v>4</v>
      </c>
      <c r="B8" s="18" t="s">
        <v>36</v>
      </c>
      <c r="C8" s="36">
        <v>1299</v>
      </c>
      <c r="D8" s="36">
        <v>1744</v>
      </c>
      <c r="E8" s="36">
        <v>1843</v>
      </c>
      <c r="F8" s="36">
        <v>1209</v>
      </c>
      <c r="G8" s="36">
        <v>2558</v>
      </c>
      <c r="H8" s="36">
        <v>4312</v>
      </c>
      <c r="I8" s="36">
        <v>1959</v>
      </c>
      <c r="J8" s="36">
        <v>3.488</v>
      </c>
      <c r="K8" s="36">
        <v>2052</v>
      </c>
      <c r="L8" s="48">
        <v>3085</v>
      </c>
      <c r="M8" s="48">
        <v>1220</v>
      </c>
      <c r="N8" s="58">
        <v>596</v>
      </c>
      <c r="O8" s="2">
        <f>SUM(C8:N8)</f>
        <v>21880.487999999998</v>
      </c>
    </row>
    <row r="9" spans="1:15" ht="33" customHeight="1" x14ac:dyDescent="0.25">
      <c r="A9" s="24">
        <f>+A8+1</f>
        <v>5</v>
      </c>
      <c r="B9" s="18" t="s">
        <v>37</v>
      </c>
      <c r="C9" s="36">
        <v>3</v>
      </c>
      <c r="D9" s="36">
        <v>2</v>
      </c>
      <c r="E9" s="36">
        <v>6</v>
      </c>
      <c r="F9" s="36">
        <v>5</v>
      </c>
      <c r="G9" s="36">
        <v>1</v>
      </c>
      <c r="H9" s="36">
        <v>2</v>
      </c>
      <c r="I9" s="36">
        <v>11</v>
      </c>
      <c r="J9" s="36">
        <v>4</v>
      </c>
      <c r="K9" s="36">
        <v>6</v>
      </c>
      <c r="L9" s="48">
        <v>3</v>
      </c>
      <c r="M9" s="48">
        <v>5</v>
      </c>
      <c r="N9" s="58">
        <v>4</v>
      </c>
      <c r="O9" s="2">
        <f>SUM(C9:N9)</f>
        <v>52</v>
      </c>
    </row>
    <row r="10" spans="1:15" ht="30" customHeight="1" x14ac:dyDescent="0.25">
      <c r="A10" s="37">
        <f>+A9+1</f>
        <v>6</v>
      </c>
      <c r="B10" s="37" t="s">
        <v>38</v>
      </c>
      <c r="C10" s="37"/>
      <c r="D10" s="37"/>
      <c r="E10" s="37" t="s">
        <v>262</v>
      </c>
      <c r="F10" s="37"/>
      <c r="G10" s="37"/>
      <c r="H10" s="37"/>
      <c r="I10" s="37"/>
      <c r="J10" s="37"/>
      <c r="K10" s="37"/>
      <c r="L10" s="37"/>
      <c r="M10" s="37"/>
      <c r="N10" s="60"/>
      <c r="O10" s="37"/>
    </row>
    <row r="11" spans="1:15" ht="27" customHeight="1" x14ac:dyDescent="0.25">
      <c r="A11" s="25">
        <f t="shared" ref="A11:A16" si="0">+A10+0.1</f>
        <v>6.1</v>
      </c>
      <c r="B11" s="3" t="s">
        <v>39</v>
      </c>
      <c r="C11" s="27">
        <v>33</v>
      </c>
      <c r="D11" s="36">
        <v>44</v>
      </c>
      <c r="E11" s="36">
        <v>44</v>
      </c>
      <c r="F11" s="27">
        <v>42</v>
      </c>
      <c r="G11" s="27">
        <v>51</v>
      </c>
      <c r="H11" s="27">
        <v>35</v>
      </c>
      <c r="I11" s="27">
        <v>71</v>
      </c>
      <c r="J11" s="27">
        <v>52</v>
      </c>
      <c r="K11" s="27">
        <v>34</v>
      </c>
      <c r="L11" s="27">
        <v>61</v>
      </c>
      <c r="M11" s="27">
        <v>48</v>
      </c>
      <c r="N11" s="56">
        <v>50</v>
      </c>
      <c r="O11" s="2">
        <f t="shared" ref="O11:O16" si="1">SUM(C11:N11)</f>
        <v>565</v>
      </c>
    </row>
    <row r="12" spans="1:15" ht="27" customHeight="1" x14ac:dyDescent="0.25">
      <c r="A12" s="25">
        <f t="shared" si="0"/>
        <v>6.1999999999999993</v>
      </c>
      <c r="B12" s="3" t="s">
        <v>40</v>
      </c>
      <c r="C12" s="27">
        <v>2</v>
      </c>
      <c r="D12" s="36">
        <v>4</v>
      </c>
      <c r="E12" s="36">
        <v>4</v>
      </c>
      <c r="F12" s="27">
        <v>3</v>
      </c>
      <c r="G12" s="27">
        <v>3</v>
      </c>
      <c r="H12" s="27">
        <v>9</v>
      </c>
      <c r="I12" s="27">
        <v>4</v>
      </c>
      <c r="J12" s="27">
        <v>10</v>
      </c>
      <c r="K12" s="27">
        <v>14</v>
      </c>
      <c r="L12" s="27">
        <v>5</v>
      </c>
      <c r="M12" s="27">
        <v>15</v>
      </c>
      <c r="N12" s="56">
        <v>0</v>
      </c>
      <c r="O12" s="2">
        <f t="shared" si="1"/>
        <v>73</v>
      </c>
    </row>
    <row r="13" spans="1:15" ht="27" customHeight="1" x14ac:dyDescent="0.25">
      <c r="A13" s="25">
        <f t="shared" si="0"/>
        <v>6.2999999999999989</v>
      </c>
      <c r="B13" s="3" t="s">
        <v>41</v>
      </c>
      <c r="C13" s="27">
        <v>2</v>
      </c>
      <c r="D13" s="36">
        <v>4</v>
      </c>
      <c r="E13" s="27">
        <v>4</v>
      </c>
      <c r="F13" s="27">
        <v>5</v>
      </c>
      <c r="G13" s="27">
        <v>4</v>
      </c>
      <c r="H13" s="27">
        <v>6</v>
      </c>
      <c r="I13" s="27">
        <v>6</v>
      </c>
      <c r="J13" s="27">
        <v>2</v>
      </c>
      <c r="K13" s="36"/>
      <c r="L13" s="48">
        <v>3</v>
      </c>
      <c r="M13" s="27">
        <v>3</v>
      </c>
      <c r="N13" s="56">
        <v>3</v>
      </c>
      <c r="O13" s="2">
        <f t="shared" si="1"/>
        <v>42</v>
      </c>
    </row>
    <row r="14" spans="1:15" ht="27" customHeight="1" x14ac:dyDescent="0.25">
      <c r="A14" s="25">
        <f t="shared" si="0"/>
        <v>6.3999999999999986</v>
      </c>
      <c r="B14" s="3" t="s">
        <v>42</v>
      </c>
      <c r="C14" s="27">
        <v>1</v>
      </c>
      <c r="D14" s="36">
        <v>2</v>
      </c>
      <c r="E14" s="27">
        <v>3</v>
      </c>
      <c r="F14" s="27">
        <v>3</v>
      </c>
      <c r="G14" s="27">
        <v>3</v>
      </c>
      <c r="H14" s="27">
        <v>3</v>
      </c>
      <c r="I14" s="27">
        <v>4</v>
      </c>
      <c r="J14" s="27">
        <v>11</v>
      </c>
      <c r="K14" s="36"/>
      <c r="L14" s="48">
        <v>4</v>
      </c>
      <c r="M14" s="27">
        <v>2</v>
      </c>
      <c r="N14" s="56">
        <v>3</v>
      </c>
      <c r="O14" s="2">
        <f t="shared" si="1"/>
        <v>39</v>
      </c>
    </row>
    <row r="15" spans="1:15" ht="27" customHeight="1" x14ac:dyDescent="0.25">
      <c r="A15" s="25">
        <f t="shared" si="0"/>
        <v>6.4999999999999982</v>
      </c>
      <c r="B15" s="3" t="s">
        <v>43</v>
      </c>
      <c r="C15" s="27">
        <v>193</v>
      </c>
      <c r="D15" s="36">
        <v>355</v>
      </c>
      <c r="E15" s="36">
        <v>437</v>
      </c>
      <c r="F15" s="27">
        <v>307</v>
      </c>
      <c r="G15" s="27">
        <v>314</v>
      </c>
      <c r="H15" s="27">
        <v>238</v>
      </c>
      <c r="I15" s="27">
        <v>273</v>
      </c>
      <c r="J15" s="27">
        <v>334</v>
      </c>
      <c r="K15" s="27">
        <v>254</v>
      </c>
      <c r="L15" s="27">
        <v>282</v>
      </c>
      <c r="M15" s="27">
        <v>311</v>
      </c>
      <c r="N15" s="56">
        <v>373</v>
      </c>
      <c r="O15" s="2">
        <f t="shared" si="1"/>
        <v>3671</v>
      </c>
    </row>
    <row r="16" spans="1:15" ht="27" customHeight="1" x14ac:dyDescent="0.25">
      <c r="A16" s="25">
        <f t="shared" si="0"/>
        <v>6.5999999999999979</v>
      </c>
      <c r="B16" s="3" t="s">
        <v>44</v>
      </c>
      <c r="C16" s="27">
        <v>141</v>
      </c>
      <c r="D16" s="36">
        <v>275</v>
      </c>
      <c r="E16" s="27">
        <v>324</v>
      </c>
      <c r="F16" s="27">
        <v>217</v>
      </c>
      <c r="G16" s="27">
        <v>210</v>
      </c>
      <c r="H16" s="27">
        <v>132</v>
      </c>
      <c r="I16" s="27">
        <v>156</v>
      </c>
      <c r="J16" s="27">
        <v>173</v>
      </c>
      <c r="K16" s="27">
        <v>150</v>
      </c>
      <c r="L16" s="27">
        <v>180</v>
      </c>
      <c r="M16" s="27">
        <v>235</v>
      </c>
      <c r="N16" s="56">
        <v>299</v>
      </c>
      <c r="O16" s="2">
        <f t="shared" si="1"/>
        <v>2492</v>
      </c>
    </row>
    <row r="17" spans="1:15" ht="30" customHeight="1" x14ac:dyDescent="0.25">
      <c r="A17" s="37">
        <f>+A10+1</f>
        <v>7</v>
      </c>
      <c r="B17" s="37" t="s">
        <v>45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60"/>
      <c r="O17" s="37"/>
    </row>
    <row r="18" spans="1:15" ht="24.75" customHeight="1" x14ac:dyDescent="0.25">
      <c r="A18" s="25">
        <f>+A17+0.1</f>
        <v>7.1</v>
      </c>
      <c r="B18" s="3" t="s">
        <v>46</v>
      </c>
      <c r="C18" s="27">
        <v>21</v>
      </c>
      <c r="D18" s="27">
        <v>37</v>
      </c>
      <c r="E18" s="27">
        <v>18</v>
      </c>
      <c r="F18" s="27">
        <v>6</v>
      </c>
      <c r="G18" s="27">
        <v>60</v>
      </c>
      <c r="H18" s="27">
        <v>18</v>
      </c>
      <c r="I18" s="27">
        <v>40</v>
      </c>
      <c r="J18" s="27">
        <v>45</v>
      </c>
      <c r="K18" s="27">
        <v>40</v>
      </c>
      <c r="L18" s="27">
        <v>80</v>
      </c>
      <c r="M18" s="27">
        <v>52</v>
      </c>
      <c r="N18" s="56">
        <v>23</v>
      </c>
      <c r="O18" s="2">
        <f>SUM(C18:N18)</f>
        <v>440</v>
      </c>
    </row>
    <row r="19" spans="1:15" ht="24.75" customHeight="1" x14ac:dyDescent="0.25">
      <c r="A19" s="25">
        <f>+A18+0.1</f>
        <v>7.1999999999999993</v>
      </c>
      <c r="B19" s="3" t="s">
        <v>47</v>
      </c>
      <c r="C19" s="27">
        <v>13</v>
      </c>
      <c r="D19" s="27">
        <v>30</v>
      </c>
      <c r="E19" s="27">
        <v>16</v>
      </c>
      <c r="F19" s="27">
        <v>8</v>
      </c>
      <c r="G19" s="27">
        <v>40</v>
      </c>
      <c r="H19" s="27">
        <v>12</v>
      </c>
      <c r="I19" s="27">
        <v>31</v>
      </c>
      <c r="J19" s="27">
        <v>39</v>
      </c>
      <c r="K19" s="27">
        <v>20</v>
      </c>
      <c r="L19" s="27">
        <v>72</v>
      </c>
      <c r="M19" s="27">
        <v>27</v>
      </c>
      <c r="N19" s="56">
        <v>25</v>
      </c>
      <c r="O19" s="2">
        <f>SUM(C19:N19)</f>
        <v>333</v>
      </c>
    </row>
    <row r="20" spans="1:15" ht="24.75" customHeight="1" x14ac:dyDescent="0.25">
      <c r="A20" s="25">
        <f>+A19+0.1</f>
        <v>7.2999999999999989</v>
      </c>
      <c r="B20" s="3" t="s">
        <v>48</v>
      </c>
      <c r="C20" s="27">
        <v>17</v>
      </c>
      <c r="D20" s="27">
        <v>18</v>
      </c>
      <c r="E20" s="27">
        <v>15</v>
      </c>
      <c r="F20" s="27">
        <v>4</v>
      </c>
      <c r="G20" s="27">
        <v>37</v>
      </c>
      <c r="H20" s="27">
        <v>12</v>
      </c>
      <c r="I20" s="27">
        <v>16</v>
      </c>
      <c r="J20" s="27">
        <v>5</v>
      </c>
      <c r="K20" s="27">
        <v>15</v>
      </c>
      <c r="L20" s="27">
        <v>19</v>
      </c>
      <c r="M20" s="27">
        <v>9</v>
      </c>
      <c r="N20" s="56">
        <v>2</v>
      </c>
      <c r="O20" s="2">
        <f>SUM(C20:N20)</f>
        <v>169</v>
      </c>
    </row>
    <row r="21" spans="1:15" ht="24.75" customHeight="1" x14ac:dyDescent="0.25">
      <c r="A21" s="25">
        <f>+A20+0.1</f>
        <v>7.3999999999999986</v>
      </c>
      <c r="B21" s="3" t="s">
        <v>49</v>
      </c>
      <c r="C21" s="27">
        <v>11</v>
      </c>
      <c r="D21" s="27">
        <v>19</v>
      </c>
      <c r="E21" s="27">
        <v>5</v>
      </c>
      <c r="F21" s="27">
        <v>0</v>
      </c>
      <c r="G21" s="27">
        <v>15</v>
      </c>
      <c r="H21" s="27">
        <v>1</v>
      </c>
      <c r="I21" s="27">
        <v>0</v>
      </c>
      <c r="J21" s="27">
        <v>8</v>
      </c>
      <c r="K21" s="27">
        <v>9</v>
      </c>
      <c r="L21" s="27">
        <v>25</v>
      </c>
      <c r="M21" s="27">
        <v>9</v>
      </c>
      <c r="N21" s="56">
        <v>0</v>
      </c>
      <c r="O21" s="2">
        <f>SUM(C21:N21)</f>
        <v>102</v>
      </c>
    </row>
    <row r="22" spans="1:15" ht="24.75" customHeight="1" x14ac:dyDescent="0.25">
      <c r="A22" s="25">
        <f>+A21+0.1</f>
        <v>7.4999999999999982</v>
      </c>
      <c r="B22" s="3" t="s">
        <v>50</v>
      </c>
      <c r="C22" s="12">
        <v>249860</v>
      </c>
      <c r="D22" s="13">
        <v>500327</v>
      </c>
      <c r="E22" s="12">
        <v>118286</v>
      </c>
      <c r="F22" s="12">
        <v>0</v>
      </c>
      <c r="G22" s="12">
        <v>332409</v>
      </c>
      <c r="H22" s="12">
        <v>16898</v>
      </c>
      <c r="I22" s="12">
        <v>0</v>
      </c>
      <c r="J22" s="12" t="s">
        <v>261</v>
      </c>
      <c r="K22" s="12">
        <v>337960</v>
      </c>
      <c r="L22" s="12">
        <v>891390</v>
      </c>
      <c r="M22" s="12">
        <v>278817</v>
      </c>
      <c r="N22" s="13">
        <v>0</v>
      </c>
      <c r="O22" s="12">
        <f>SUM(C22:N22)</f>
        <v>2725947</v>
      </c>
    </row>
    <row r="23" spans="1:15" ht="30" customHeight="1" x14ac:dyDescent="0.25">
      <c r="A23" s="37">
        <f>+A17+1</f>
        <v>8</v>
      </c>
      <c r="B23" s="37" t="s">
        <v>51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60"/>
      <c r="O23" s="37"/>
    </row>
    <row r="24" spans="1:15" ht="22.5" customHeight="1" x14ac:dyDescent="0.25">
      <c r="A24" s="25">
        <f>+A23+0.1</f>
        <v>8.1</v>
      </c>
      <c r="B24" s="3" t="s">
        <v>52</v>
      </c>
      <c r="C24" s="27">
        <v>90</v>
      </c>
      <c r="D24" s="27">
        <v>95</v>
      </c>
      <c r="E24" s="27">
        <v>134</v>
      </c>
      <c r="F24" s="27">
        <v>103</v>
      </c>
      <c r="G24" s="27">
        <v>112</v>
      </c>
      <c r="H24" s="27">
        <v>110</v>
      </c>
      <c r="I24" s="27">
        <v>117</v>
      </c>
      <c r="J24" s="27">
        <v>109</v>
      </c>
      <c r="K24" s="27">
        <v>95</v>
      </c>
      <c r="L24" s="27">
        <v>132</v>
      </c>
      <c r="M24" s="27">
        <v>145</v>
      </c>
      <c r="N24" s="56">
        <v>137</v>
      </c>
      <c r="O24" s="2">
        <f t="shared" ref="O24:O69" si="2">SUM(C24:N24)</f>
        <v>1379</v>
      </c>
    </row>
    <row r="25" spans="1:15" ht="22.5" customHeight="1" x14ac:dyDescent="0.25">
      <c r="A25" s="25">
        <f t="shared" ref="A25:A32" si="3">+A24+0.1</f>
        <v>8.1999999999999993</v>
      </c>
      <c r="B25" s="3" t="s">
        <v>53</v>
      </c>
      <c r="C25" s="27">
        <v>18</v>
      </c>
      <c r="D25" s="27">
        <v>7</v>
      </c>
      <c r="E25" s="27">
        <v>8</v>
      </c>
      <c r="F25" s="27">
        <v>14</v>
      </c>
      <c r="G25" s="27">
        <v>6</v>
      </c>
      <c r="H25" s="27">
        <v>10</v>
      </c>
      <c r="I25" s="27">
        <v>5</v>
      </c>
      <c r="J25" s="27">
        <v>13</v>
      </c>
      <c r="K25" s="27">
        <v>7</v>
      </c>
      <c r="L25" s="27">
        <v>11</v>
      </c>
      <c r="M25" s="27">
        <v>3</v>
      </c>
      <c r="N25" s="56">
        <v>12</v>
      </c>
      <c r="O25" s="2">
        <f t="shared" si="2"/>
        <v>114</v>
      </c>
    </row>
    <row r="26" spans="1:15" ht="22.5" customHeight="1" x14ac:dyDescent="0.25">
      <c r="A26" s="25">
        <f t="shared" si="3"/>
        <v>8.2999999999999989</v>
      </c>
      <c r="B26" s="3" t="s">
        <v>54</v>
      </c>
      <c r="C26" s="27">
        <v>11</v>
      </c>
      <c r="D26" s="27">
        <v>23</v>
      </c>
      <c r="E26" s="27">
        <v>17</v>
      </c>
      <c r="F26" s="27">
        <v>20</v>
      </c>
      <c r="G26" s="27">
        <v>22</v>
      </c>
      <c r="H26" s="27">
        <v>21</v>
      </c>
      <c r="I26" s="27">
        <v>15</v>
      </c>
      <c r="J26" s="27">
        <v>22</v>
      </c>
      <c r="K26" s="27">
        <v>13</v>
      </c>
      <c r="L26" s="27">
        <v>23</v>
      </c>
      <c r="M26" s="27">
        <v>21</v>
      </c>
      <c r="N26" s="56">
        <v>21</v>
      </c>
      <c r="O26" s="2">
        <f t="shared" si="2"/>
        <v>229</v>
      </c>
    </row>
    <row r="27" spans="1:15" ht="22.5" customHeight="1" x14ac:dyDescent="0.25">
      <c r="A27" s="25">
        <f t="shared" si="3"/>
        <v>8.3999999999999986</v>
      </c>
      <c r="B27" s="3" t="s">
        <v>55</v>
      </c>
      <c r="C27" s="27">
        <v>0</v>
      </c>
      <c r="D27" s="27">
        <v>0</v>
      </c>
      <c r="E27" s="27">
        <v>0</v>
      </c>
      <c r="F27" s="27">
        <v>1</v>
      </c>
      <c r="G27" s="27">
        <v>0</v>
      </c>
      <c r="H27" s="27">
        <v>0</v>
      </c>
      <c r="I27" s="27">
        <v>1</v>
      </c>
      <c r="J27" s="27">
        <v>0</v>
      </c>
      <c r="K27" s="27">
        <v>0</v>
      </c>
      <c r="L27" s="27">
        <v>1</v>
      </c>
      <c r="M27" s="27">
        <v>0</v>
      </c>
      <c r="N27" s="56">
        <v>1</v>
      </c>
      <c r="O27" s="2">
        <f t="shared" si="2"/>
        <v>4</v>
      </c>
    </row>
    <row r="28" spans="1:15" ht="22.5" customHeight="1" x14ac:dyDescent="0.25">
      <c r="A28" s="25">
        <f t="shared" si="3"/>
        <v>8.4999999999999982</v>
      </c>
      <c r="B28" s="3" t="s">
        <v>56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56">
        <v>0</v>
      </c>
      <c r="O28" s="2">
        <f t="shared" si="2"/>
        <v>0</v>
      </c>
    </row>
    <row r="29" spans="1:15" ht="22.5" customHeight="1" x14ac:dyDescent="0.25">
      <c r="A29" s="25">
        <f t="shared" si="3"/>
        <v>8.5999999999999979</v>
      </c>
      <c r="B29" s="3" t="s">
        <v>57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56">
        <v>0</v>
      </c>
      <c r="O29" s="2">
        <f t="shared" si="2"/>
        <v>0</v>
      </c>
    </row>
    <row r="30" spans="1:15" ht="22.5" customHeight="1" x14ac:dyDescent="0.25">
      <c r="A30" s="25">
        <f t="shared" si="3"/>
        <v>8.6999999999999975</v>
      </c>
      <c r="B30" s="3" t="s">
        <v>58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56">
        <v>0</v>
      </c>
      <c r="O30" s="2">
        <f t="shared" si="2"/>
        <v>0</v>
      </c>
    </row>
    <row r="31" spans="1:15" ht="22.5" customHeight="1" x14ac:dyDescent="0.25">
      <c r="A31" s="25">
        <f t="shared" si="3"/>
        <v>8.7999999999999972</v>
      </c>
      <c r="B31" s="3" t="s">
        <v>59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56">
        <v>0</v>
      </c>
      <c r="O31" s="2">
        <f t="shared" si="2"/>
        <v>0</v>
      </c>
    </row>
    <row r="32" spans="1:15" ht="22.5" customHeight="1" x14ac:dyDescent="0.25">
      <c r="A32" s="25">
        <f t="shared" si="3"/>
        <v>8.8999999999999968</v>
      </c>
      <c r="B32" s="3" t="s">
        <v>60</v>
      </c>
      <c r="C32" s="27">
        <v>31</v>
      </c>
      <c r="D32" s="27">
        <v>19</v>
      </c>
      <c r="E32" s="27">
        <v>9</v>
      </c>
      <c r="F32" s="27">
        <v>31</v>
      </c>
      <c r="G32" s="27">
        <v>29</v>
      </c>
      <c r="H32" s="27">
        <v>22</v>
      </c>
      <c r="I32" s="27">
        <v>15</v>
      </c>
      <c r="J32" s="27">
        <v>22</v>
      </c>
      <c r="K32" s="27">
        <v>21</v>
      </c>
      <c r="L32" s="27">
        <v>34</v>
      </c>
      <c r="M32" s="27">
        <v>27</v>
      </c>
      <c r="N32" s="56">
        <v>20</v>
      </c>
      <c r="O32" s="2">
        <f t="shared" si="2"/>
        <v>280</v>
      </c>
    </row>
    <row r="33" spans="1:15" ht="22.5" customHeight="1" x14ac:dyDescent="0.25">
      <c r="A33" s="6">
        <v>8.1</v>
      </c>
      <c r="B33" s="9" t="s">
        <v>61</v>
      </c>
      <c r="C33" s="2">
        <f t="shared" ref="C33:I33" si="4">SUM(C24:C32)</f>
        <v>150</v>
      </c>
      <c r="D33" s="2">
        <f t="shared" si="4"/>
        <v>144</v>
      </c>
      <c r="E33" s="2">
        <f t="shared" si="4"/>
        <v>168</v>
      </c>
      <c r="F33" s="2">
        <f t="shared" si="4"/>
        <v>169</v>
      </c>
      <c r="G33" s="2">
        <f t="shared" si="4"/>
        <v>169</v>
      </c>
      <c r="H33" s="2">
        <f t="shared" si="4"/>
        <v>163</v>
      </c>
      <c r="I33" s="2">
        <f>SUM(I24:I32)</f>
        <v>153</v>
      </c>
      <c r="J33" s="57">
        <f t="shared" ref="J33:N33" si="5">SUM(J24:J32)</f>
        <v>166</v>
      </c>
      <c r="K33" s="57">
        <f t="shared" si="5"/>
        <v>136</v>
      </c>
      <c r="L33" s="57">
        <f t="shared" si="5"/>
        <v>201</v>
      </c>
      <c r="M33" s="57">
        <f t="shared" si="5"/>
        <v>196</v>
      </c>
      <c r="N33" s="57">
        <f t="shared" si="5"/>
        <v>191</v>
      </c>
      <c r="O33" s="2">
        <f t="shared" si="2"/>
        <v>2006</v>
      </c>
    </row>
    <row r="34" spans="1:15" ht="30" customHeight="1" x14ac:dyDescent="0.25">
      <c r="A34" s="37">
        <f>+A23+1</f>
        <v>9</v>
      </c>
      <c r="B34" s="37" t="s">
        <v>62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60"/>
      <c r="O34" s="37"/>
    </row>
    <row r="35" spans="1:15" ht="26.25" customHeight="1" x14ac:dyDescent="0.25">
      <c r="A35" s="25">
        <f>+A34+0.1</f>
        <v>9.1</v>
      </c>
      <c r="B35" s="3" t="s">
        <v>63</v>
      </c>
      <c r="C35" s="27">
        <v>27</v>
      </c>
      <c r="D35" s="27">
        <v>19</v>
      </c>
      <c r="E35" s="27">
        <v>24</v>
      </c>
      <c r="F35" s="27">
        <v>15</v>
      </c>
      <c r="G35" s="27">
        <v>23</v>
      </c>
      <c r="H35" s="27">
        <v>23</v>
      </c>
      <c r="I35" s="27">
        <v>15</v>
      </c>
      <c r="J35" s="27">
        <v>22</v>
      </c>
      <c r="K35" s="27">
        <v>20</v>
      </c>
      <c r="L35" s="27">
        <v>17</v>
      </c>
      <c r="M35" s="27">
        <v>17</v>
      </c>
      <c r="N35" s="56">
        <v>40</v>
      </c>
      <c r="O35" s="2">
        <f t="shared" si="2"/>
        <v>262</v>
      </c>
    </row>
    <row r="36" spans="1:15" ht="26.25" customHeight="1" x14ac:dyDescent="0.25">
      <c r="A36" s="25">
        <f t="shared" ref="A36:A43" si="6">+A35+0.1</f>
        <v>9.1999999999999993</v>
      </c>
      <c r="B36" s="3" t="s">
        <v>64</v>
      </c>
      <c r="C36" s="27">
        <v>6</v>
      </c>
      <c r="D36" s="27">
        <v>7</v>
      </c>
      <c r="E36" s="27">
        <v>10</v>
      </c>
      <c r="F36" s="27">
        <v>6</v>
      </c>
      <c r="G36" s="27">
        <v>4</v>
      </c>
      <c r="H36" s="27">
        <v>5</v>
      </c>
      <c r="I36" s="27">
        <v>4</v>
      </c>
      <c r="J36" s="27">
        <v>15</v>
      </c>
      <c r="K36" s="27">
        <v>5</v>
      </c>
      <c r="L36" s="27">
        <v>8</v>
      </c>
      <c r="M36" s="27">
        <v>6</v>
      </c>
      <c r="N36" s="56">
        <v>13</v>
      </c>
      <c r="O36" s="2">
        <f t="shared" si="2"/>
        <v>89</v>
      </c>
    </row>
    <row r="37" spans="1:15" ht="26.25" customHeight="1" x14ac:dyDescent="0.25">
      <c r="A37" s="25">
        <f t="shared" si="6"/>
        <v>9.2999999999999989</v>
      </c>
      <c r="B37" s="3" t="s">
        <v>65</v>
      </c>
      <c r="C37" s="27">
        <v>3</v>
      </c>
      <c r="D37" s="27">
        <v>3</v>
      </c>
      <c r="E37" s="27">
        <v>3</v>
      </c>
      <c r="F37" s="27">
        <v>2</v>
      </c>
      <c r="G37" s="27">
        <v>0</v>
      </c>
      <c r="H37" s="27">
        <v>2</v>
      </c>
      <c r="I37" s="27">
        <v>3</v>
      </c>
      <c r="J37" s="27">
        <v>6</v>
      </c>
      <c r="K37" s="27">
        <v>2</v>
      </c>
      <c r="L37" s="27">
        <v>6</v>
      </c>
      <c r="M37" s="27">
        <v>4</v>
      </c>
      <c r="N37" s="56">
        <v>1</v>
      </c>
      <c r="O37" s="2">
        <f t="shared" si="2"/>
        <v>35</v>
      </c>
    </row>
    <row r="38" spans="1:15" ht="26.25" customHeight="1" x14ac:dyDescent="0.25">
      <c r="A38" s="25">
        <f t="shared" si="6"/>
        <v>9.3999999999999986</v>
      </c>
      <c r="B38" s="3" t="s">
        <v>66</v>
      </c>
      <c r="C38" s="27">
        <v>32</v>
      </c>
      <c r="D38" s="27">
        <v>49</v>
      </c>
      <c r="E38" s="27">
        <v>27</v>
      </c>
      <c r="F38" s="27">
        <v>35</v>
      </c>
      <c r="G38" s="27">
        <v>27</v>
      </c>
      <c r="H38" s="27">
        <v>23</v>
      </c>
      <c r="I38" s="27">
        <v>35</v>
      </c>
      <c r="J38" s="27">
        <v>54</v>
      </c>
      <c r="K38" s="27">
        <v>13</v>
      </c>
      <c r="L38" s="27">
        <v>20</v>
      </c>
      <c r="M38" s="27">
        <v>24</v>
      </c>
      <c r="N38" s="56">
        <v>43</v>
      </c>
      <c r="O38" s="2">
        <f t="shared" si="2"/>
        <v>382</v>
      </c>
    </row>
    <row r="39" spans="1:15" ht="26.25" customHeight="1" x14ac:dyDescent="0.25">
      <c r="A39" s="25">
        <f t="shared" si="6"/>
        <v>9.4999999999999982</v>
      </c>
      <c r="B39" s="3" t="s">
        <v>67</v>
      </c>
      <c r="C39" s="27">
        <v>7</v>
      </c>
      <c r="D39" s="27">
        <v>4</v>
      </c>
      <c r="E39" s="27">
        <v>1</v>
      </c>
      <c r="F39" s="27">
        <v>2</v>
      </c>
      <c r="G39" s="27">
        <v>3</v>
      </c>
      <c r="H39" s="27">
        <v>4</v>
      </c>
      <c r="I39" s="27">
        <v>9</v>
      </c>
      <c r="J39" s="27">
        <v>3</v>
      </c>
      <c r="K39" s="27">
        <v>3</v>
      </c>
      <c r="L39" s="27">
        <v>6</v>
      </c>
      <c r="M39" s="27">
        <v>3</v>
      </c>
      <c r="N39" s="56">
        <v>8</v>
      </c>
      <c r="O39" s="2">
        <f t="shared" si="2"/>
        <v>53</v>
      </c>
    </row>
    <row r="40" spans="1:15" ht="26.25" customHeight="1" x14ac:dyDescent="0.25">
      <c r="A40" s="25">
        <f t="shared" si="6"/>
        <v>9.5999999999999979</v>
      </c>
      <c r="B40" s="3" t="s">
        <v>68</v>
      </c>
      <c r="C40" s="27">
        <v>14</v>
      </c>
      <c r="D40" s="27">
        <v>9</v>
      </c>
      <c r="E40" s="27">
        <v>22</v>
      </c>
      <c r="F40" s="27">
        <v>10</v>
      </c>
      <c r="G40" s="27">
        <v>13</v>
      </c>
      <c r="H40" s="27">
        <v>10</v>
      </c>
      <c r="I40" s="27">
        <v>15</v>
      </c>
      <c r="J40" s="27">
        <v>13</v>
      </c>
      <c r="K40" s="27">
        <v>3</v>
      </c>
      <c r="L40" s="27">
        <v>23</v>
      </c>
      <c r="M40" s="27">
        <v>22</v>
      </c>
      <c r="N40" s="56">
        <v>22</v>
      </c>
      <c r="O40" s="2">
        <f t="shared" si="2"/>
        <v>176</v>
      </c>
    </row>
    <row r="41" spans="1:15" ht="26.25" customHeight="1" x14ac:dyDescent="0.25">
      <c r="A41" s="25">
        <f t="shared" si="6"/>
        <v>9.6999999999999975</v>
      </c>
      <c r="B41" s="3" t="s">
        <v>69</v>
      </c>
      <c r="C41" s="27">
        <v>4</v>
      </c>
      <c r="D41" s="27">
        <v>2</v>
      </c>
      <c r="E41" s="27">
        <v>2</v>
      </c>
      <c r="F41" s="27">
        <v>1</v>
      </c>
      <c r="G41" s="27">
        <v>0</v>
      </c>
      <c r="H41" s="27">
        <v>0</v>
      </c>
      <c r="I41" s="27">
        <v>2</v>
      </c>
      <c r="J41" s="27">
        <v>2</v>
      </c>
      <c r="K41" s="27">
        <v>0</v>
      </c>
      <c r="L41" s="27">
        <v>2</v>
      </c>
      <c r="M41" s="27">
        <v>0</v>
      </c>
      <c r="N41" s="56">
        <v>1</v>
      </c>
      <c r="O41" s="2">
        <f t="shared" si="2"/>
        <v>16</v>
      </c>
    </row>
    <row r="42" spans="1:15" ht="26.25" customHeight="1" x14ac:dyDescent="0.25">
      <c r="A42" s="25">
        <f t="shared" si="6"/>
        <v>9.7999999999999972</v>
      </c>
      <c r="B42" s="3" t="s">
        <v>70</v>
      </c>
      <c r="C42" s="27">
        <v>2</v>
      </c>
      <c r="D42" s="27">
        <v>9</v>
      </c>
      <c r="E42" s="27">
        <v>4</v>
      </c>
      <c r="F42" s="27">
        <v>1</v>
      </c>
      <c r="G42" s="27">
        <v>6</v>
      </c>
      <c r="H42" s="27">
        <v>4</v>
      </c>
      <c r="I42" s="27">
        <v>2</v>
      </c>
      <c r="J42" s="27">
        <v>1</v>
      </c>
      <c r="K42" s="27">
        <v>7</v>
      </c>
      <c r="L42" s="27">
        <v>1</v>
      </c>
      <c r="M42" s="27">
        <v>1</v>
      </c>
      <c r="N42" s="56">
        <v>3</v>
      </c>
      <c r="O42" s="2">
        <f t="shared" si="2"/>
        <v>41</v>
      </c>
    </row>
    <row r="43" spans="1:15" ht="26.25" customHeight="1" x14ac:dyDescent="0.25">
      <c r="A43" s="25">
        <f t="shared" si="6"/>
        <v>9.8999999999999968</v>
      </c>
      <c r="B43" s="3" t="s">
        <v>71</v>
      </c>
      <c r="C43" s="27">
        <v>1</v>
      </c>
      <c r="D43" s="27">
        <v>0</v>
      </c>
      <c r="E43" s="27">
        <v>0</v>
      </c>
      <c r="F43" s="27">
        <v>2</v>
      </c>
      <c r="G43" s="27">
        <v>0</v>
      </c>
      <c r="H43" s="27">
        <v>1</v>
      </c>
      <c r="I43" s="27">
        <v>0</v>
      </c>
      <c r="J43" s="27">
        <v>4</v>
      </c>
      <c r="K43" s="27">
        <v>1</v>
      </c>
      <c r="L43" s="27">
        <v>0</v>
      </c>
      <c r="M43" s="27">
        <v>0</v>
      </c>
      <c r="N43" s="56">
        <v>0</v>
      </c>
      <c r="O43" s="2">
        <f t="shared" si="2"/>
        <v>9</v>
      </c>
    </row>
    <row r="44" spans="1:15" ht="26.25" customHeight="1" x14ac:dyDescent="0.25">
      <c r="A44" s="6">
        <v>9.1</v>
      </c>
      <c r="B44" s="3" t="s">
        <v>72</v>
      </c>
      <c r="C44" s="27">
        <v>4</v>
      </c>
      <c r="D44" s="27">
        <v>6</v>
      </c>
      <c r="E44" s="27">
        <v>5</v>
      </c>
      <c r="F44" s="27">
        <v>2</v>
      </c>
      <c r="G44" s="27">
        <v>7</v>
      </c>
      <c r="H44" s="27">
        <v>7</v>
      </c>
      <c r="I44" s="27">
        <v>4</v>
      </c>
      <c r="J44" s="27">
        <v>8</v>
      </c>
      <c r="K44" s="27">
        <v>6</v>
      </c>
      <c r="L44" s="27">
        <v>4</v>
      </c>
      <c r="M44" s="27">
        <v>2</v>
      </c>
      <c r="N44" s="56">
        <v>1</v>
      </c>
      <c r="O44" s="2">
        <f t="shared" si="2"/>
        <v>56</v>
      </c>
    </row>
    <row r="45" spans="1:15" ht="26.25" customHeight="1" x14ac:dyDescent="0.25">
      <c r="A45" s="6">
        <v>9.1199999999999992</v>
      </c>
      <c r="B45" s="3" t="s">
        <v>73</v>
      </c>
      <c r="C45" s="27">
        <v>1</v>
      </c>
      <c r="D45" s="27">
        <v>0</v>
      </c>
      <c r="E45" s="27">
        <v>0</v>
      </c>
      <c r="F45" s="27">
        <v>0</v>
      </c>
      <c r="G45" s="27">
        <v>1</v>
      </c>
      <c r="H45" s="27">
        <v>0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56">
        <v>1</v>
      </c>
      <c r="O45" s="2">
        <f t="shared" si="2"/>
        <v>4</v>
      </c>
    </row>
    <row r="46" spans="1:15" ht="26.25" customHeight="1" x14ac:dyDescent="0.25">
      <c r="A46" s="6">
        <v>9.1300000000000008</v>
      </c>
      <c r="B46" s="3" t="s">
        <v>74</v>
      </c>
      <c r="C46" s="27">
        <v>0</v>
      </c>
      <c r="D46" s="27">
        <v>1</v>
      </c>
      <c r="E46" s="27">
        <v>1</v>
      </c>
      <c r="F46" s="27">
        <v>1</v>
      </c>
      <c r="G46" s="27">
        <v>1</v>
      </c>
      <c r="H46" s="27">
        <v>0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56">
        <v>2</v>
      </c>
      <c r="O46" s="2">
        <f t="shared" si="2"/>
        <v>7</v>
      </c>
    </row>
    <row r="47" spans="1:15" ht="26.25" customHeight="1" x14ac:dyDescent="0.25">
      <c r="A47" s="6">
        <v>9.14</v>
      </c>
      <c r="B47" s="9" t="s">
        <v>61</v>
      </c>
      <c r="C47" s="2">
        <f>SUM(C35:C46)</f>
        <v>101</v>
      </c>
      <c r="D47" s="2">
        <f t="shared" ref="D47:I47" si="7">SUM(D35:D46)</f>
        <v>109</v>
      </c>
      <c r="E47" s="2">
        <f t="shared" si="7"/>
        <v>99</v>
      </c>
      <c r="F47" s="2">
        <f t="shared" si="7"/>
        <v>77</v>
      </c>
      <c r="G47" s="2">
        <f t="shared" si="7"/>
        <v>85</v>
      </c>
      <c r="H47" s="2">
        <f t="shared" si="7"/>
        <v>79</v>
      </c>
      <c r="I47" s="2">
        <f t="shared" si="7"/>
        <v>89</v>
      </c>
      <c r="J47" s="2">
        <v>129</v>
      </c>
      <c r="K47" s="2">
        <f t="shared" ref="K47" si="8">SUM(K35:K46)</f>
        <v>60</v>
      </c>
      <c r="L47" s="2">
        <f>SUM(L35:L46)</f>
        <v>88</v>
      </c>
      <c r="M47" s="2">
        <f>SUM(M35:M46)</f>
        <v>79</v>
      </c>
      <c r="N47" s="57">
        <f>SUM(N35:N46)</f>
        <v>135</v>
      </c>
      <c r="O47" s="2">
        <f t="shared" si="2"/>
        <v>1130</v>
      </c>
    </row>
    <row r="48" spans="1:15" ht="30" customHeight="1" x14ac:dyDescent="0.25">
      <c r="A48" s="37">
        <f>+A34+1</f>
        <v>10</v>
      </c>
      <c r="B48" s="37" t="s">
        <v>75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60"/>
      <c r="O48" s="37"/>
    </row>
    <row r="49" spans="1:15" ht="27.75" customHeight="1" x14ac:dyDescent="0.25">
      <c r="A49" s="25">
        <f>+A48+0.1</f>
        <v>10.1</v>
      </c>
      <c r="B49" s="3" t="s">
        <v>76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56">
        <v>0</v>
      </c>
      <c r="O49" s="2">
        <f t="shared" si="2"/>
        <v>1</v>
      </c>
    </row>
    <row r="50" spans="1:15" ht="27.75" customHeight="1" x14ac:dyDescent="0.25">
      <c r="A50" s="25">
        <f t="shared" ref="A50:A57" si="9">+A49+0.1</f>
        <v>10.199999999999999</v>
      </c>
      <c r="B50" s="3" t="s">
        <v>77</v>
      </c>
      <c r="C50" s="27">
        <v>0</v>
      </c>
      <c r="D50" s="27">
        <v>0</v>
      </c>
      <c r="E50" s="27">
        <v>0</v>
      </c>
      <c r="F50" s="27">
        <v>1</v>
      </c>
      <c r="G50" s="27">
        <v>1</v>
      </c>
      <c r="H50" s="27">
        <v>1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56">
        <v>1</v>
      </c>
      <c r="O50" s="2">
        <f t="shared" si="2"/>
        <v>4</v>
      </c>
    </row>
    <row r="51" spans="1:15" ht="27.75" customHeight="1" x14ac:dyDescent="0.25">
      <c r="A51" s="25">
        <f t="shared" si="9"/>
        <v>10.299999999999999</v>
      </c>
      <c r="B51" s="3" t="s">
        <v>78</v>
      </c>
      <c r="C51" s="27">
        <v>32</v>
      </c>
      <c r="D51" s="27">
        <v>31</v>
      </c>
      <c r="E51" s="27">
        <v>35</v>
      </c>
      <c r="F51" s="27">
        <v>37</v>
      </c>
      <c r="G51" s="27">
        <v>29</v>
      </c>
      <c r="H51" s="27">
        <v>31</v>
      </c>
      <c r="I51" s="27">
        <v>35</v>
      </c>
      <c r="J51" s="27">
        <v>16</v>
      </c>
      <c r="K51" s="27">
        <v>24</v>
      </c>
      <c r="L51" s="27">
        <v>43</v>
      </c>
      <c r="M51" s="27">
        <v>35</v>
      </c>
      <c r="N51" s="56">
        <v>44</v>
      </c>
      <c r="O51" s="2">
        <f t="shared" si="2"/>
        <v>392</v>
      </c>
    </row>
    <row r="52" spans="1:15" ht="27.75" customHeight="1" x14ac:dyDescent="0.25">
      <c r="A52" s="25">
        <f t="shared" si="9"/>
        <v>10.399999999999999</v>
      </c>
      <c r="B52" s="3" t="s">
        <v>79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56">
        <v>0</v>
      </c>
      <c r="O52" s="2">
        <f t="shared" si="2"/>
        <v>0</v>
      </c>
    </row>
    <row r="53" spans="1:15" ht="27.75" customHeight="1" x14ac:dyDescent="0.25">
      <c r="A53" s="25">
        <f t="shared" si="9"/>
        <v>10.499999999999998</v>
      </c>
      <c r="B53" s="3" t="s">
        <v>80</v>
      </c>
      <c r="C53" s="27">
        <v>4</v>
      </c>
      <c r="D53" s="27">
        <v>4</v>
      </c>
      <c r="E53" s="27">
        <v>4</v>
      </c>
      <c r="F53" s="27">
        <v>4</v>
      </c>
      <c r="G53" s="27">
        <v>8</v>
      </c>
      <c r="H53" s="27">
        <v>5</v>
      </c>
      <c r="I53" s="27">
        <v>5</v>
      </c>
      <c r="J53" s="27">
        <v>10</v>
      </c>
      <c r="K53" s="27">
        <v>6</v>
      </c>
      <c r="L53" s="27">
        <v>10</v>
      </c>
      <c r="M53" s="27">
        <v>3</v>
      </c>
      <c r="N53" s="56">
        <v>5</v>
      </c>
      <c r="O53" s="2">
        <f t="shared" si="2"/>
        <v>68</v>
      </c>
    </row>
    <row r="54" spans="1:15" ht="27.75" customHeight="1" x14ac:dyDescent="0.25">
      <c r="A54" s="25">
        <f t="shared" si="9"/>
        <v>10.599999999999998</v>
      </c>
      <c r="B54" s="3" t="s">
        <v>81</v>
      </c>
      <c r="C54" s="27">
        <v>1</v>
      </c>
      <c r="D54" s="27">
        <v>1</v>
      </c>
      <c r="E54" s="27">
        <v>0</v>
      </c>
      <c r="F54" s="27">
        <v>1</v>
      </c>
      <c r="G54" s="27">
        <v>1</v>
      </c>
      <c r="H54" s="27">
        <v>1</v>
      </c>
      <c r="I54" s="27">
        <v>1</v>
      </c>
      <c r="J54" s="27">
        <v>0</v>
      </c>
      <c r="K54" s="27">
        <v>0</v>
      </c>
      <c r="L54" s="27">
        <v>2</v>
      </c>
      <c r="M54" s="27">
        <v>1</v>
      </c>
      <c r="N54" s="56">
        <v>0</v>
      </c>
      <c r="O54" s="2">
        <f t="shared" si="2"/>
        <v>9</v>
      </c>
    </row>
    <row r="55" spans="1:15" ht="27.75" customHeight="1" x14ac:dyDescent="0.25">
      <c r="A55" s="25">
        <f t="shared" si="9"/>
        <v>10.699999999999998</v>
      </c>
      <c r="B55" s="3" t="s">
        <v>82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56">
        <v>0</v>
      </c>
      <c r="O55" s="2">
        <f t="shared" si="2"/>
        <v>0</v>
      </c>
    </row>
    <row r="56" spans="1:15" ht="32.25" customHeight="1" x14ac:dyDescent="0.25">
      <c r="A56" s="25">
        <f t="shared" si="9"/>
        <v>10.799999999999997</v>
      </c>
      <c r="B56" s="3" t="s">
        <v>83</v>
      </c>
      <c r="C56" s="27">
        <v>8</v>
      </c>
      <c r="D56" s="27">
        <v>17</v>
      </c>
      <c r="E56" s="27">
        <v>17</v>
      </c>
      <c r="F56" s="27">
        <v>17</v>
      </c>
      <c r="G56" s="27">
        <v>10</v>
      </c>
      <c r="H56" s="27">
        <v>12</v>
      </c>
      <c r="I56" s="27">
        <v>14</v>
      </c>
      <c r="J56" s="27">
        <v>9</v>
      </c>
      <c r="K56" s="27">
        <v>12</v>
      </c>
      <c r="L56" s="27">
        <v>18</v>
      </c>
      <c r="M56" s="27">
        <v>16</v>
      </c>
      <c r="N56" s="56">
        <v>29</v>
      </c>
      <c r="O56" s="2">
        <f t="shared" si="2"/>
        <v>179</v>
      </c>
    </row>
    <row r="57" spans="1:15" ht="28.5" customHeight="1" x14ac:dyDescent="0.25">
      <c r="A57" s="25">
        <f t="shared" si="9"/>
        <v>10.899999999999997</v>
      </c>
      <c r="B57" s="3" t="s">
        <v>84</v>
      </c>
      <c r="C57" s="27">
        <v>3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56">
        <v>0</v>
      </c>
      <c r="O57" s="2">
        <f t="shared" si="2"/>
        <v>3</v>
      </c>
    </row>
    <row r="58" spans="1:15" ht="28.5" customHeight="1" x14ac:dyDescent="0.25">
      <c r="A58" s="6">
        <v>10.1</v>
      </c>
      <c r="B58" s="3" t="s">
        <v>85</v>
      </c>
      <c r="C58" s="27">
        <v>3</v>
      </c>
      <c r="D58" s="27">
        <v>5</v>
      </c>
      <c r="E58" s="27">
        <v>5</v>
      </c>
      <c r="F58" s="27">
        <v>6</v>
      </c>
      <c r="G58" s="27">
        <v>4</v>
      </c>
      <c r="H58" s="27">
        <v>3</v>
      </c>
      <c r="I58" s="27">
        <v>5</v>
      </c>
      <c r="J58" s="27">
        <v>4</v>
      </c>
      <c r="K58" s="27">
        <v>7</v>
      </c>
      <c r="L58" s="27">
        <v>14</v>
      </c>
      <c r="M58" s="27">
        <v>16</v>
      </c>
      <c r="N58" s="56">
        <v>16</v>
      </c>
      <c r="O58" s="2">
        <f t="shared" si="2"/>
        <v>88</v>
      </c>
    </row>
    <row r="59" spans="1:15" ht="28.5" customHeight="1" x14ac:dyDescent="0.25">
      <c r="A59" s="6">
        <v>10.11</v>
      </c>
      <c r="B59" s="3" t="s">
        <v>86</v>
      </c>
      <c r="C59" s="27">
        <v>0</v>
      </c>
      <c r="D59" s="27">
        <v>0</v>
      </c>
      <c r="E59" s="27">
        <v>0</v>
      </c>
      <c r="F59" s="27">
        <v>0</v>
      </c>
      <c r="G59" s="27">
        <v>1</v>
      </c>
      <c r="H59" s="27">
        <v>0</v>
      </c>
      <c r="I59" s="36">
        <v>0</v>
      </c>
      <c r="J59" s="36">
        <v>0</v>
      </c>
      <c r="K59" s="27">
        <v>0</v>
      </c>
      <c r="L59" s="27">
        <v>0</v>
      </c>
      <c r="M59" s="27">
        <v>0</v>
      </c>
      <c r="N59" s="56">
        <v>0</v>
      </c>
      <c r="O59" s="2">
        <f t="shared" si="2"/>
        <v>1</v>
      </c>
    </row>
    <row r="60" spans="1:15" ht="32.25" customHeight="1" x14ac:dyDescent="0.25">
      <c r="A60" s="6">
        <v>10.119999999999999</v>
      </c>
      <c r="B60" s="9" t="s">
        <v>61</v>
      </c>
      <c r="C60" s="2">
        <f>SUM(C49:C59)</f>
        <v>51</v>
      </c>
      <c r="D60" s="2">
        <f t="shared" ref="D60:I60" si="10">SUM(D49:D59)</f>
        <v>58</v>
      </c>
      <c r="E60" s="2">
        <f t="shared" si="10"/>
        <v>61</v>
      </c>
      <c r="F60" s="2">
        <f t="shared" si="10"/>
        <v>66</v>
      </c>
      <c r="G60" s="2">
        <f t="shared" si="10"/>
        <v>54</v>
      </c>
      <c r="H60" s="2">
        <f t="shared" si="10"/>
        <v>53</v>
      </c>
      <c r="I60" s="2">
        <f t="shared" si="10"/>
        <v>60</v>
      </c>
      <c r="J60" s="2">
        <v>40</v>
      </c>
      <c r="K60" s="2">
        <f t="shared" ref="K60" si="11">SUM(K49:K59)</f>
        <v>49</v>
      </c>
      <c r="L60" s="2">
        <f>SUM(L49:L59)</f>
        <v>87</v>
      </c>
      <c r="M60" s="2">
        <f>SUM(M49:M59)</f>
        <v>71</v>
      </c>
      <c r="N60" s="57">
        <f>SUM(N49:N59)</f>
        <v>95</v>
      </c>
      <c r="O60" s="2">
        <f t="shared" si="2"/>
        <v>745</v>
      </c>
    </row>
    <row r="61" spans="1:15" ht="30" customHeight="1" x14ac:dyDescent="0.25">
      <c r="A61" s="37">
        <f>+A48+1</f>
        <v>11</v>
      </c>
      <c r="B61" s="37" t="s">
        <v>87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60"/>
      <c r="O61" s="37"/>
    </row>
    <row r="62" spans="1:15" ht="33" customHeight="1" x14ac:dyDescent="0.25">
      <c r="A62" s="25">
        <f>+A61+0.1</f>
        <v>11.1</v>
      </c>
      <c r="B62" s="3" t="s">
        <v>88</v>
      </c>
      <c r="C62" s="27">
        <v>5</v>
      </c>
      <c r="D62" s="27">
        <v>2</v>
      </c>
      <c r="E62" s="27">
        <v>2</v>
      </c>
      <c r="F62" s="27">
        <v>1</v>
      </c>
      <c r="G62" s="27">
        <v>0</v>
      </c>
      <c r="H62" s="27">
        <v>0</v>
      </c>
      <c r="I62" s="27">
        <v>0</v>
      </c>
      <c r="J62" s="27">
        <v>4</v>
      </c>
      <c r="K62" s="27">
        <v>1</v>
      </c>
      <c r="L62" s="27">
        <v>1</v>
      </c>
      <c r="M62" s="27">
        <v>1</v>
      </c>
      <c r="N62" s="56">
        <v>4</v>
      </c>
      <c r="O62" s="2">
        <f t="shared" si="2"/>
        <v>21</v>
      </c>
    </row>
    <row r="63" spans="1:15" ht="28.5" customHeight="1" x14ac:dyDescent="0.25">
      <c r="A63" s="25">
        <f t="shared" ref="A63:A70" si="12">+A62+0.1</f>
        <v>11.2</v>
      </c>
      <c r="B63" s="3" t="s">
        <v>89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56">
        <v>0</v>
      </c>
      <c r="O63" s="2">
        <f t="shared" si="2"/>
        <v>0</v>
      </c>
    </row>
    <row r="64" spans="1:15" ht="28.5" customHeight="1" x14ac:dyDescent="0.25">
      <c r="A64" s="25">
        <f t="shared" si="12"/>
        <v>11.299999999999999</v>
      </c>
      <c r="B64" s="3" t="s">
        <v>90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56">
        <v>0</v>
      </c>
      <c r="O64" s="2">
        <f t="shared" si="2"/>
        <v>0</v>
      </c>
    </row>
    <row r="65" spans="1:15" ht="33" customHeight="1" x14ac:dyDescent="0.25">
      <c r="A65" s="25">
        <f t="shared" si="12"/>
        <v>11.399999999999999</v>
      </c>
      <c r="B65" s="3" t="s">
        <v>91</v>
      </c>
      <c r="C65" s="27">
        <v>0</v>
      </c>
      <c r="D65" s="27">
        <v>1</v>
      </c>
      <c r="E65" s="27">
        <v>0</v>
      </c>
      <c r="F65" s="27">
        <v>0</v>
      </c>
      <c r="G65" s="27">
        <v>3</v>
      </c>
      <c r="H65" s="27">
        <v>0</v>
      </c>
      <c r="I65" s="27">
        <v>0</v>
      </c>
      <c r="J65" s="27">
        <v>0</v>
      </c>
      <c r="K65" s="27">
        <v>1</v>
      </c>
      <c r="L65" s="27">
        <v>0</v>
      </c>
      <c r="M65" s="27">
        <v>0</v>
      </c>
      <c r="N65" s="56">
        <v>0</v>
      </c>
      <c r="O65" s="2">
        <f t="shared" si="2"/>
        <v>5</v>
      </c>
    </row>
    <row r="66" spans="1:15" ht="33" customHeight="1" x14ac:dyDescent="0.25">
      <c r="A66" s="25">
        <f t="shared" si="12"/>
        <v>11.499999999999998</v>
      </c>
      <c r="B66" s="3" t="s">
        <v>92</v>
      </c>
      <c r="C66" s="27">
        <v>3</v>
      </c>
      <c r="D66" s="27">
        <v>0</v>
      </c>
      <c r="E66" s="27">
        <v>2</v>
      </c>
      <c r="F66" s="27">
        <v>0</v>
      </c>
      <c r="G66" s="27">
        <v>1</v>
      </c>
      <c r="H66" s="27">
        <v>2</v>
      </c>
      <c r="I66" s="27">
        <v>2</v>
      </c>
      <c r="J66" s="27">
        <v>0</v>
      </c>
      <c r="K66" s="27">
        <v>1</v>
      </c>
      <c r="L66" s="27">
        <v>0</v>
      </c>
      <c r="M66" s="27">
        <v>4</v>
      </c>
      <c r="N66" s="56">
        <v>0</v>
      </c>
      <c r="O66" s="2">
        <f t="shared" si="2"/>
        <v>15</v>
      </c>
    </row>
    <row r="67" spans="1:15" ht="33" customHeight="1" x14ac:dyDescent="0.25">
      <c r="A67" s="25">
        <f t="shared" si="12"/>
        <v>11.599999999999998</v>
      </c>
      <c r="B67" s="3" t="s">
        <v>93</v>
      </c>
      <c r="C67" s="27">
        <v>7</v>
      </c>
      <c r="D67" s="27">
        <v>7</v>
      </c>
      <c r="E67" s="27">
        <v>8</v>
      </c>
      <c r="F67" s="27">
        <v>6</v>
      </c>
      <c r="G67" s="27">
        <v>13</v>
      </c>
      <c r="H67" s="27">
        <v>7</v>
      </c>
      <c r="I67" s="27">
        <v>3</v>
      </c>
      <c r="J67" s="27">
        <v>3</v>
      </c>
      <c r="K67" s="27">
        <v>7</v>
      </c>
      <c r="L67" s="27">
        <v>7</v>
      </c>
      <c r="M67" s="27">
        <v>8</v>
      </c>
      <c r="N67" s="56">
        <v>12</v>
      </c>
      <c r="O67" s="2">
        <f t="shared" si="2"/>
        <v>88</v>
      </c>
    </row>
    <row r="68" spans="1:15" ht="27" customHeight="1" x14ac:dyDescent="0.25">
      <c r="A68" s="25">
        <f t="shared" si="12"/>
        <v>11.699999999999998</v>
      </c>
      <c r="B68" s="3" t="s">
        <v>94</v>
      </c>
      <c r="C68" s="27">
        <v>27</v>
      </c>
      <c r="D68" s="27">
        <v>31</v>
      </c>
      <c r="E68" s="27">
        <v>56</v>
      </c>
      <c r="F68" s="27">
        <v>41</v>
      </c>
      <c r="G68" s="27">
        <v>45</v>
      </c>
      <c r="H68" s="27">
        <v>22</v>
      </c>
      <c r="I68" s="27">
        <v>31</v>
      </c>
      <c r="J68" s="27">
        <v>29</v>
      </c>
      <c r="K68" s="27">
        <v>43</v>
      </c>
      <c r="L68" s="27">
        <v>41</v>
      </c>
      <c r="M68" s="27">
        <v>35</v>
      </c>
      <c r="N68" s="56">
        <v>43</v>
      </c>
      <c r="O68" s="2">
        <f t="shared" si="2"/>
        <v>444</v>
      </c>
    </row>
    <row r="69" spans="1:15" ht="27" customHeight="1" x14ac:dyDescent="0.25">
      <c r="A69" s="25">
        <f t="shared" si="12"/>
        <v>11.799999999999997</v>
      </c>
      <c r="B69" s="3" t="s">
        <v>95</v>
      </c>
      <c r="C69" s="27">
        <v>23</v>
      </c>
      <c r="D69" s="27">
        <v>26</v>
      </c>
      <c r="E69" s="27">
        <v>18</v>
      </c>
      <c r="F69" s="27">
        <v>50</v>
      </c>
      <c r="G69" s="27">
        <v>27</v>
      </c>
      <c r="H69" s="27">
        <v>29</v>
      </c>
      <c r="I69" s="27">
        <v>37</v>
      </c>
      <c r="J69" s="27">
        <v>28</v>
      </c>
      <c r="K69" s="27">
        <v>29</v>
      </c>
      <c r="L69" s="27">
        <v>25</v>
      </c>
      <c r="M69" s="27">
        <v>38</v>
      </c>
      <c r="N69" s="56">
        <v>20</v>
      </c>
      <c r="O69" s="2">
        <f t="shared" si="2"/>
        <v>350</v>
      </c>
    </row>
    <row r="70" spans="1:15" ht="27" customHeight="1" x14ac:dyDescent="0.25">
      <c r="A70" s="25">
        <f t="shared" si="12"/>
        <v>11.899999999999997</v>
      </c>
      <c r="B70" s="3" t="s">
        <v>96</v>
      </c>
      <c r="C70" s="27">
        <v>3</v>
      </c>
      <c r="D70" s="27">
        <v>3</v>
      </c>
      <c r="E70" s="27">
        <v>3</v>
      </c>
      <c r="F70" s="27">
        <v>0</v>
      </c>
      <c r="G70" s="27">
        <v>2</v>
      </c>
      <c r="H70" s="27">
        <v>2</v>
      </c>
      <c r="I70" s="27">
        <v>3</v>
      </c>
      <c r="J70" s="27">
        <v>3</v>
      </c>
      <c r="K70" s="27">
        <v>5</v>
      </c>
      <c r="L70" s="27">
        <v>2</v>
      </c>
      <c r="M70" s="27">
        <v>2</v>
      </c>
      <c r="N70" s="56">
        <v>5</v>
      </c>
      <c r="O70" s="2">
        <f t="shared" ref="O70:O121" si="13">SUM(C70:N70)</f>
        <v>33</v>
      </c>
    </row>
    <row r="71" spans="1:15" ht="27" customHeight="1" x14ac:dyDescent="0.25">
      <c r="A71" s="6">
        <v>11.1</v>
      </c>
      <c r="B71" s="3" t="s">
        <v>97</v>
      </c>
      <c r="C71" s="27">
        <v>20</v>
      </c>
      <c r="D71" s="27">
        <v>14</v>
      </c>
      <c r="E71" s="27">
        <v>26</v>
      </c>
      <c r="F71" s="27">
        <v>33</v>
      </c>
      <c r="G71" s="27">
        <v>29</v>
      </c>
      <c r="H71" s="27">
        <v>31</v>
      </c>
      <c r="I71" s="27">
        <v>34</v>
      </c>
      <c r="J71" s="27">
        <v>43</v>
      </c>
      <c r="K71" s="27">
        <v>39</v>
      </c>
      <c r="L71" s="27">
        <v>37</v>
      </c>
      <c r="M71" s="27">
        <v>16</v>
      </c>
      <c r="N71" s="56">
        <v>22</v>
      </c>
      <c r="O71" s="2">
        <f t="shared" si="13"/>
        <v>344</v>
      </c>
    </row>
    <row r="72" spans="1:15" ht="27" customHeight="1" x14ac:dyDescent="0.25">
      <c r="A72" s="6">
        <v>11.11</v>
      </c>
      <c r="B72" s="3" t="s">
        <v>98</v>
      </c>
      <c r="C72" s="27">
        <v>0</v>
      </c>
      <c r="D72" s="27">
        <v>1</v>
      </c>
      <c r="E72" s="27">
        <v>1</v>
      </c>
      <c r="F72" s="27">
        <v>2</v>
      </c>
      <c r="G72" s="27">
        <v>0</v>
      </c>
      <c r="H72" s="27">
        <v>2</v>
      </c>
      <c r="I72" s="27">
        <v>1</v>
      </c>
      <c r="J72" s="27">
        <v>3</v>
      </c>
      <c r="K72" s="27">
        <v>12</v>
      </c>
      <c r="L72" s="27">
        <v>4</v>
      </c>
      <c r="M72" s="27">
        <v>2</v>
      </c>
      <c r="N72" s="56">
        <v>1</v>
      </c>
      <c r="O72" s="2">
        <f t="shared" si="13"/>
        <v>29</v>
      </c>
    </row>
    <row r="73" spans="1:15" ht="27" customHeight="1" x14ac:dyDescent="0.25">
      <c r="A73" s="6">
        <v>11.12</v>
      </c>
      <c r="B73" s="3" t="s">
        <v>99</v>
      </c>
      <c r="C73" s="27">
        <v>1</v>
      </c>
      <c r="D73" s="27">
        <v>3</v>
      </c>
      <c r="E73" s="27">
        <v>4</v>
      </c>
      <c r="F73" s="27">
        <v>3</v>
      </c>
      <c r="G73" s="27">
        <v>8</v>
      </c>
      <c r="H73" s="27">
        <v>5</v>
      </c>
      <c r="I73" s="27">
        <v>3</v>
      </c>
      <c r="J73" s="27">
        <v>5</v>
      </c>
      <c r="K73" s="27">
        <v>3</v>
      </c>
      <c r="L73" s="27">
        <v>5</v>
      </c>
      <c r="M73" s="27">
        <v>0</v>
      </c>
      <c r="N73" s="56">
        <v>3</v>
      </c>
      <c r="O73" s="2">
        <f t="shared" si="13"/>
        <v>43</v>
      </c>
    </row>
    <row r="74" spans="1:15" ht="27" customHeight="1" x14ac:dyDescent="0.25">
      <c r="A74" s="6">
        <v>11.13</v>
      </c>
      <c r="B74" s="3" t="s">
        <v>100</v>
      </c>
      <c r="C74" s="27">
        <v>8</v>
      </c>
      <c r="D74" s="27">
        <v>14</v>
      </c>
      <c r="E74" s="27">
        <v>11</v>
      </c>
      <c r="F74" s="27">
        <v>11</v>
      </c>
      <c r="G74" s="27">
        <v>24</v>
      </c>
      <c r="H74" s="27">
        <v>11</v>
      </c>
      <c r="I74" s="27">
        <v>8</v>
      </c>
      <c r="J74" s="27">
        <v>9</v>
      </c>
      <c r="K74" s="27">
        <v>29</v>
      </c>
      <c r="L74" s="27">
        <v>18</v>
      </c>
      <c r="M74" s="27">
        <v>9</v>
      </c>
      <c r="N74" s="56">
        <v>7</v>
      </c>
      <c r="O74" s="2">
        <f t="shared" si="13"/>
        <v>159</v>
      </c>
    </row>
    <row r="75" spans="1:15" ht="27" customHeight="1" x14ac:dyDescent="0.25">
      <c r="A75" s="6">
        <v>11.14</v>
      </c>
      <c r="B75" s="3" t="s">
        <v>101</v>
      </c>
      <c r="C75" s="27">
        <v>46</v>
      </c>
      <c r="D75" s="27">
        <v>34</v>
      </c>
      <c r="E75" s="27">
        <v>57</v>
      </c>
      <c r="F75" s="27">
        <v>62</v>
      </c>
      <c r="G75" s="27">
        <v>74</v>
      </c>
      <c r="H75" s="27">
        <v>63</v>
      </c>
      <c r="I75" s="27">
        <v>61</v>
      </c>
      <c r="J75" s="27">
        <v>76</v>
      </c>
      <c r="K75" s="27">
        <v>61</v>
      </c>
      <c r="L75" s="27">
        <v>49</v>
      </c>
      <c r="M75" s="27">
        <v>44</v>
      </c>
      <c r="N75" s="56">
        <v>65</v>
      </c>
      <c r="O75" s="2">
        <f t="shared" si="13"/>
        <v>692</v>
      </c>
    </row>
    <row r="76" spans="1:15" ht="27" customHeight="1" x14ac:dyDescent="0.25">
      <c r="A76" s="6">
        <v>11.15</v>
      </c>
      <c r="B76" s="3" t="s">
        <v>102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1</v>
      </c>
      <c r="I76" s="27">
        <v>0</v>
      </c>
      <c r="J76" s="27">
        <v>2</v>
      </c>
      <c r="K76" s="27">
        <v>0</v>
      </c>
      <c r="L76" s="27">
        <v>0</v>
      </c>
      <c r="M76" s="27">
        <v>0</v>
      </c>
      <c r="N76" s="56">
        <v>0</v>
      </c>
      <c r="O76" s="2">
        <f t="shared" si="13"/>
        <v>3</v>
      </c>
    </row>
    <row r="77" spans="1:15" ht="27" customHeight="1" x14ac:dyDescent="0.25">
      <c r="A77" s="6">
        <v>11.16</v>
      </c>
      <c r="B77" s="3" t="s">
        <v>103</v>
      </c>
      <c r="C77" s="27">
        <v>22</v>
      </c>
      <c r="D77" s="27">
        <v>18</v>
      </c>
      <c r="E77" s="27">
        <v>33</v>
      </c>
      <c r="F77" s="27">
        <v>23</v>
      </c>
      <c r="G77" s="27">
        <v>35</v>
      </c>
      <c r="H77" s="27">
        <v>19</v>
      </c>
      <c r="I77" s="27">
        <v>25</v>
      </c>
      <c r="J77" s="27">
        <v>38</v>
      </c>
      <c r="K77" s="27">
        <v>40</v>
      </c>
      <c r="L77" s="27">
        <v>24</v>
      </c>
      <c r="M77" s="27">
        <v>29</v>
      </c>
      <c r="N77" s="56">
        <v>33</v>
      </c>
      <c r="O77" s="2">
        <f t="shared" si="13"/>
        <v>339</v>
      </c>
    </row>
    <row r="78" spans="1:15" ht="27" customHeight="1" x14ac:dyDescent="0.25">
      <c r="A78" s="6">
        <f t="shared" ref="A78:A93" si="14">+A77+0.01</f>
        <v>11.17</v>
      </c>
      <c r="B78" s="3" t="s">
        <v>104</v>
      </c>
      <c r="C78" s="27">
        <v>0</v>
      </c>
      <c r="D78" s="27">
        <v>0</v>
      </c>
      <c r="E78" s="27">
        <v>2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56">
        <v>1</v>
      </c>
      <c r="O78" s="2">
        <f t="shared" si="13"/>
        <v>3</v>
      </c>
    </row>
    <row r="79" spans="1:15" ht="27" customHeight="1" x14ac:dyDescent="0.25">
      <c r="A79" s="6">
        <f t="shared" si="14"/>
        <v>11.18</v>
      </c>
      <c r="B79" s="3" t="s">
        <v>105</v>
      </c>
      <c r="C79" s="27">
        <v>0</v>
      </c>
      <c r="D79" s="27">
        <v>1</v>
      </c>
      <c r="E79" s="27">
        <v>5</v>
      </c>
      <c r="F79" s="27">
        <v>3</v>
      </c>
      <c r="G79" s="27">
        <v>4</v>
      </c>
      <c r="H79" s="27">
        <v>2</v>
      </c>
      <c r="I79" s="27">
        <v>2</v>
      </c>
      <c r="J79" s="27">
        <v>4</v>
      </c>
      <c r="K79" s="27">
        <v>2</v>
      </c>
      <c r="L79" s="27">
        <v>1</v>
      </c>
      <c r="M79" s="27">
        <v>4</v>
      </c>
      <c r="N79" s="56">
        <v>6</v>
      </c>
      <c r="O79" s="2">
        <f t="shared" si="13"/>
        <v>34</v>
      </c>
    </row>
    <row r="80" spans="1:15" ht="27" customHeight="1" x14ac:dyDescent="0.25">
      <c r="A80" s="6">
        <f t="shared" si="14"/>
        <v>11.19</v>
      </c>
      <c r="B80" s="3" t="s">
        <v>106</v>
      </c>
      <c r="C80" s="27">
        <v>30</v>
      </c>
      <c r="D80" s="27">
        <v>20</v>
      </c>
      <c r="E80" s="27">
        <v>29</v>
      </c>
      <c r="F80" s="27">
        <v>15</v>
      </c>
      <c r="G80" s="27">
        <v>15</v>
      </c>
      <c r="H80" s="27">
        <v>13</v>
      </c>
      <c r="I80" s="27">
        <v>14</v>
      </c>
      <c r="J80" s="27">
        <v>15</v>
      </c>
      <c r="K80" s="27">
        <v>18</v>
      </c>
      <c r="L80" s="27">
        <v>38</v>
      </c>
      <c r="M80" s="27">
        <v>26</v>
      </c>
      <c r="N80" s="56">
        <v>27</v>
      </c>
      <c r="O80" s="2">
        <f t="shared" si="13"/>
        <v>260</v>
      </c>
    </row>
    <row r="81" spans="1:15" ht="33" customHeight="1" x14ac:dyDescent="0.25">
      <c r="A81" s="6">
        <f t="shared" si="14"/>
        <v>11.2</v>
      </c>
      <c r="B81" s="3" t="s">
        <v>107</v>
      </c>
      <c r="C81" s="27">
        <v>2</v>
      </c>
      <c r="D81" s="27">
        <v>0</v>
      </c>
      <c r="E81" s="27">
        <v>2</v>
      </c>
      <c r="F81" s="27">
        <v>1</v>
      </c>
      <c r="G81" s="27">
        <v>0</v>
      </c>
      <c r="H81" s="27">
        <v>0</v>
      </c>
      <c r="I81" s="27">
        <v>2</v>
      </c>
      <c r="J81" s="27">
        <v>1</v>
      </c>
      <c r="K81" s="27">
        <v>1</v>
      </c>
      <c r="L81" s="27">
        <v>3</v>
      </c>
      <c r="M81" s="27">
        <v>1</v>
      </c>
      <c r="N81" s="56">
        <v>3</v>
      </c>
      <c r="O81" s="2">
        <f t="shared" si="13"/>
        <v>16</v>
      </c>
    </row>
    <row r="82" spans="1:15" ht="28.5" customHeight="1" x14ac:dyDescent="0.25">
      <c r="A82" s="6">
        <f t="shared" si="14"/>
        <v>11.209999999999999</v>
      </c>
      <c r="B82" s="3" t="s">
        <v>108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56">
        <v>0</v>
      </c>
      <c r="O82" s="2">
        <f t="shared" si="13"/>
        <v>0</v>
      </c>
    </row>
    <row r="83" spans="1:15" ht="28.5" customHeight="1" x14ac:dyDescent="0.25">
      <c r="A83" s="6">
        <f t="shared" si="14"/>
        <v>11.219999999999999</v>
      </c>
      <c r="B83" s="3" t="s">
        <v>109</v>
      </c>
      <c r="C83" s="27">
        <v>0</v>
      </c>
      <c r="D83" s="27">
        <v>0</v>
      </c>
      <c r="E83" s="27">
        <v>0</v>
      </c>
      <c r="F83" s="27">
        <v>3</v>
      </c>
      <c r="G83" s="27">
        <v>2</v>
      </c>
      <c r="H83" s="27">
        <v>2</v>
      </c>
      <c r="I83" s="27">
        <v>3</v>
      </c>
      <c r="J83" s="27">
        <v>4</v>
      </c>
      <c r="K83" s="27">
        <v>1</v>
      </c>
      <c r="L83" s="27">
        <v>0</v>
      </c>
      <c r="M83" s="27">
        <v>2</v>
      </c>
      <c r="N83" s="56">
        <v>4</v>
      </c>
      <c r="O83" s="2">
        <f t="shared" si="13"/>
        <v>21</v>
      </c>
    </row>
    <row r="84" spans="1:15" ht="28.5" customHeight="1" x14ac:dyDescent="0.25">
      <c r="A84" s="6">
        <f t="shared" si="14"/>
        <v>11.229999999999999</v>
      </c>
      <c r="B84" s="3" t="s">
        <v>110</v>
      </c>
      <c r="C84" s="27">
        <v>1</v>
      </c>
      <c r="D84" s="27">
        <v>2</v>
      </c>
      <c r="E84" s="27">
        <v>0</v>
      </c>
      <c r="F84" s="27">
        <v>1</v>
      </c>
      <c r="G84" s="27">
        <v>0</v>
      </c>
      <c r="H84" s="27">
        <v>0</v>
      </c>
      <c r="I84" s="27">
        <v>2</v>
      </c>
      <c r="J84" s="27">
        <v>0</v>
      </c>
      <c r="K84" s="27">
        <v>2</v>
      </c>
      <c r="L84" s="27">
        <v>2</v>
      </c>
      <c r="M84" s="27">
        <v>3</v>
      </c>
      <c r="N84" s="56">
        <v>1</v>
      </c>
      <c r="O84" s="2">
        <f t="shared" si="13"/>
        <v>14</v>
      </c>
    </row>
    <row r="85" spans="1:15" ht="28.5" customHeight="1" x14ac:dyDescent="0.25">
      <c r="A85" s="6">
        <f t="shared" si="14"/>
        <v>11.239999999999998</v>
      </c>
      <c r="B85" s="3" t="s">
        <v>111</v>
      </c>
      <c r="C85" s="27">
        <v>0</v>
      </c>
      <c r="D85" s="27">
        <v>0</v>
      </c>
      <c r="E85" s="27">
        <v>0</v>
      </c>
      <c r="F85" s="27">
        <v>0</v>
      </c>
      <c r="G85" s="27">
        <v>2</v>
      </c>
      <c r="H85" s="27">
        <v>3</v>
      </c>
      <c r="I85" s="27">
        <v>0</v>
      </c>
      <c r="J85" s="27">
        <v>0</v>
      </c>
      <c r="K85" s="27">
        <v>2</v>
      </c>
      <c r="L85" s="27">
        <v>0</v>
      </c>
      <c r="M85" s="27">
        <v>2</v>
      </c>
      <c r="N85" s="56">
        <v>0</v>
      </c>
      <c r="O85" s="2">
        <f t="shared" si="13"/>
        <v>9</v>
      </c>
    </row>
    <row r="86" spans="1:15" ht="33" customHeight="1" x14ac:dyDescent="0.25">
      <c r="A86" s="6">
        <f t="shared" si="14"/>
        <v>11.249999999999998</v>
      </c>
      <c r="B86" s="3" t="s">
        <v>112</v>
      </c>
      <c r="C86" s="27">
        <v>34</v>
      </c>
      <c r="D86" s="27">
        <v>30</v>
      </c>
      <c r="E86" s="27">
        <v>26</v>
      </c>
      <c r="F86" s="27">
        <v>51</v>
      </c>
      <c r="G86" s="27">
        <v>69</v>
      </c>
      <c r="H86" s="27">
        <v>42</v>
      </c>
      <c r="I86" s="27">
        <v>45</v>
      </c>
      <c r="J86" s="27">
        <v>42</v>
      </c>
      <c r="K86" s="27">
        <v>47</v>
      </c>
      <c r="L86" s="27">
        <v>58</v>
      </c>
      <c r="M86" s="27">
        <v>41</v>
      </c>
      <c r="N86" s="56">
        <v>45</v>
      </c>
      <c r="O86" s="2">
        <f t="shared" si="13"/>
        <v>530</v>
      </c>
    </row>
    <row r="87" spans="1:15" ht="28.5" customHeight="1" x14ac:dyDescent="0.25">
      <c r="A87" s="6">
        <f t="shared" si="14"/>
        <v>11.259999999999998</v>
      </c>
      <c r="B87" s="3" t="s">
        <v>113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56">
        <v>0</v>
      </c>
      <c r="O87" s="2">
        <f t="shared" si="13"/>
        <v>0</v>
      </c>
    </row>
    <row r="88" spans="1:15" ht="28.5" customHeight="1" x14ac:dyDescent="0.25">
      <c r="A88" s="6">
        <f t="shared" si="14"/>
        <v>11.269999999999998</v>
      </c>
      <c r="B88" s="3" t="s">
        <v>114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2</v>
      </c>
      <c r="L88" s="27">
        <v>0</v>
      </c>
      <c r="M88" s="27">
        <v>0</v>
      </c>
      <c r="N88" s="56">
        <v>0</v>
      </c>
      <c r="O88" s="2">
        <f t="shared" si="13"/>
        <v>2</v>
      </c>
    </row>
    <row r="89" spans="1:15" ht="28.5" customHeight="1" x14ac:dyDescent="0.25">
      <c r="A89" s="6">
        <f t="shared" si="14"/>
        <v>11.279999999999998</v>
      </c>
      <c r="B89" s="3" t="s">
        <v>115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2</v>
      </c>
      <c r="L89" s="27">
        <v>0</v>
      </c>
      <c r="M89" s="27">
        <v>0</v>
      </c>
      <c r="N89" s="56">
        <v>0</v>
      </c>
      <c r="O89" s="2">
        <f t="shared" si="13"/>
        <v>2</v>
      </c>
    </row>
    <row r="90" spans="1:15" ht="28.5" customHeight="1" x14ac:dyDescent="0.25">
      <c r="A90" s="6">
        <f t="shared" si="14"/>
        <v>11.289999999999997</v>
      </c>
      <c r="B90" s="3" t="s">
        <v>116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56">
        <v>0</v>
      </c>
      <c r="O90" s="2">
        <f t="shared" si="13"/>
        <v>0</v>
      </c>
    </row>
    <row r="91" spans="1:15" ht="28.5" customHeight="1" x14ac:dyDescent="0.25">
      <c r="A91" s="6">
        <f t="shared" si="14"/>
        <v>11.299999999999997</v>
      </c>
      <c r="B91" s="3" t="s">
        <v>117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56">
        <v>0</v>
      </c>
      <c r="O91" s="2">
        <f t="shared" si="13"/>
        <v>0</v>
      </c>
    </row>
    <row r="92" spans="1:15" ht="28.5" customHeight="1" x14ac:dyDescent="0.25">
      <c r="A92" s="6">
        <f t="shared" si="14"/>
        <v>11.309999999999997</v>
      </c>
      <c r="B92" s="3" t="s">
        <v>118</v>
      </c>
      <c r="C92" s="27">
        <v>3</v>
      </c>
      <c r="D92" s="36">
        <v>5</v>
      </c>
      <c r="E92" s="27">
        <v>7</v>
      </c>
      <c r="F92" s="27">
        <v>2</v>
      </c>
      <c r="G92" s="27">
        <v>11</v>
      </c>
      <c r="H92" s="27">
        <v>13</v>
      </c>
      <c r="I92" s="27">
        <v>15</v>
      </c>
      <c r="J92" s="27">
        <v>0</v>
      </c>
      <c r="K92" s="27">
        <v>0</v>
      </c>
      <c r="L92" s="27">
        <v>7</v>
      </c>
      <c r="M92" s="27">
        <v>8</v>
      </c>
      <c r="N92" s="56">
        <v>2</v>
      </c>
      <c r="O92" s="2">
        <f t="shared" si="13"/>
        <v>73</v>
      </c>
    </row>
    <row r="93" spans="1:15" ht="28.5" customHeight="1" x14ac:dyDescent="0.25">
      <c r="A93" s="10">
        <f t="shared" si="14"/>
        <v>11.319999999999997</v>
      </c>
      <c r="B93" s="9" t="s">
        <v>61</v>
      </c>
      <c r="C93" s="2">
        <f>SUM(C62:C92)</f>
        <v>235</v>
      </c>
      <c r="D93" s="2">
        <f t="shared" ref="D93:I93" si="15">SUM(D62:D92)</f>
        <v>212</v>
      </c>
      <c r="E93" s="2">
        <f t="shared" si="15"/>
        <v>292</v>
      </c>
      <c r="F93" s="2">
        <f t="shared" si="15"/>
        <v>308</v>
      </c>
      <c r="G93" s="2">
        <f t="shared" si="15"/>
        <v>364</v>
      </c>
      <c r="H93" s="2">
        <f t="shared" si="15"/>
        <v>269</v>
      </c>
      <c r="I93" s="2">
        <f t="shared" si="15"/>
        <v>291</v>
      </c>
      <c r="J93" s="2">
        <v>309</v>
      </c>
      <c r="K93" s="2">
        <f t="shared" ref="K93" si="16">SUM(K62:K92)</f>
        <v>348</v>
      </c>
      <c r="L93" s="2">
        <f>SUM(L62:L92)</f>
        <v>322</v>
      </c>
      <c r="M93" s="2">
        <f>SUM(M62:M92)</f>
        <v>275</v>
      </c>
      <c r="N93" s="57">
        <f>SUM(N62:N92)</f>
        <v>304</v>
      </c>
      <c r="O93" s="2">
        <f t="shared" si="13"/>
        <v>3529</v>
      </c>
    </row>
    <row r="94" spans="1:15" ht="30" customHeight="1" x14ac:dyDescent="0.25">
      <c r="A94" s="37">
        <f>+A61+1</f>
        <v>12</v>
      </c>
      <c r="B94" s="37" t="s">
        <v>119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60"/>
      <c r="O94" s="37"/>
    </row>
    <row r="95" spans="1:15" ht="33" customHeight="1" x14ac:dyDescent="0.25">
      <c r="A95" s="25">
        <f>+A94+0.1</f>
        <v>12.1</v>
      </c>
      <c r="B95" s="3" t="s">
        <v>120</v>
      </c>
      <c r="C95" s="27">
        <v>30</v>
      </c>
      <c r="D95" s="27">
        <v>85</v>
      </c>
      <c r="E95" s="27">
        <v>112</v>
      </c>
      <c r="F95" s="27">
        <v>110</v>
      </c>
      <c r="G95" s="27">
        <v>143</v>
      </c>
      <c r="H95" s="27">
        <v>140</v>
      </c>
      <c r="I95" s="27">
        <v>293</v>
      </c>
      <c r="J95" s="27">
        <v>221</v>
      </c>
      <c r="K95" s="36">
        <v>184</v>
      </c>
      <c r="L95" s="27">
        <v>318</v>
      </c>
      <c r="M95" s="27">
        <v>190</v>
      </c>
      <c r="N95" s="56">
        <v>170</v>
      </c>
      <c r="O95" s="2">
        <f t="shared" si="13"/>
        <v>1996</v>
      </c>
    </row>
    <row r="96" spans="1:15" ht="33" customHeight="1" x14ac:dyDescent="0.25">
      <c r="A96" s="25">
        <f>+A95+0.1</f>
        <v>12.2</v>
      </c>
      <c r="B96" s="3" t="s">
        <v>121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36">
        <v>0</v>
      </c>
      <c r="L96" s="48">
        <v>16</v>
      </c>
      <c r="M96" s="48">
        <v>19</v>
      </c>
      <c r="N96" s="56">
        <v>22</v>
      </c>
      <c r="O96" s="2">
        <f t="shared" si="13"/>
        <v>57</v>
      </c>
    </row>
    <row r="97" spans="1:15" ht="33" customHeight="1" x14ac:dyDescent="0.25">
      <c r="A97" s="25">
        <f>+A96+0.1</f>
        <v>12.299999999999999</v>
      </c>
      <c r="B97" s="3" t="s">
        <v>122</v>
      </c>
      <c r="C97" s="27">
        <v>8</v>
      </c>
      <c r="D97" s="27">
        <v>0</v>
      </c>
      <c r="E97" s="27">
        <v>1</v>
      </c>
      <c r="F97" s="27">
        <v>0</v>
      </c>
      <c r="G97" s="27">
        <v>10</v>
      </c>
      <c r="H97" s="27">
        <v>3</v>
      </c>
      <c r="I97" s="27">
        <v>0</v>
      </c>
      <c r="J97" s="27">
        <v>0</v>
      </c>
      <c r="K97" s="36">
        <v>8</v>
      </c>
      <c r="L97" s="48">
        <v>9</v>
      </c>
      <c r="M97" s="48">
        <v>3</v>
      </c>
      <c r="N97" s="56">
        <v>1</v>
      </c>
      <c r="O97" s="2">
        <f t="shared" si="13"/>
        <v>43</v>
      </c>
    </row>
    <row r="98" spans="1:15" ht="33" customHeight="1" x14ac:dyDescent="0.25">
      <c r="A98" s="25">
        <f>+A97+0.1</f>
        <v>12.399999999999999</v>
      </c>
      <c r="B98" s="9" t="s">
        <v>61</v>
      </c>
      <c r="C98" s="2">
        <f t="shared" ref="C98:I98" si="17">SUM(C95:C97)</f>
        <v>38</v>
      </c>
      <c r="D98" s="2">
        <f t="shared" si="17"/>
        <v>85</v>
      </c>
      <c r="E98" s="2">
        <f t="shared" si="17"/>
        <v>113</v>
      </c>
      <c r="F98" s="2">
        <f t="shared" si="17"/>
        <v>110</v>
      </c>
      <c r="G98" s="2">
        <f t="shared" si="17"/>
        <v>153</v>
      </c>
      <c r="H98" s="2">
        <f t="shared" si="17"/>
        <v>143</v>
      </c>
      <c r="I98" s="2">
        <f t="shared" si="17"/>
        <v>293</v>
      </c>
      <c r="J98" s="2">
        <v>221</v>
      </c>
      <c r="K98" s="2">
        <f t="shared" ref="K98" si="18">SUM(K95:K97)</f>
        <v>192</v>
      </c>
      <c r="L98" s="2">
        <f>SUM(L95:L97)</f>
        <v>343</v>
      </c>
      <c r="M98" s="2">
        <f>SUM(M95:M97)</f>
        <v>212</v>
      </c>
      <c r="N98" s="57">
        <f>SUM(N95:N97)</f>
        <v>193</v>
      </c>
      <c r="O98" s="2">
        <f t="shared" si="13"/>
        <v>2096</v>
      </c>
    </row>
    <row r="99" spans="1:15" ht="30" customHeight="1" x14ac:dyDescent="0.25">
      <c r="A99" s="37">
        <f>+A94+1</f>
        <v>13</v>
      </c>
      <c r="B99" s="37" t="s">
        <v>123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60"/>
      <c r="O99" s="37"/>
    </row>
    <row r="100" spans="1:15" ht="33" customHeight="1" x14ac:dyDescent="0.25">
      <c r="A100" s="25">
        <f>+A99+0.1</f>
        <v>13.1</v>
      </c>
      <c r="B100" s="3" t="s">
        <v>124</v>
      </c>
      <c r="C100" s="27">
        <v>3</v>
      </c>
      <c r="D100" s="27">
        <v>19</v>
      </c>
      <c r="E100" s="27">
        <v>24</v>
      </c>
      <c r="F100" s="27">
        <v>19</v>
      </c>
      <c r="G100" s="27">
        <v>10</v>
      </c>
      <c r="H100" s="27">
        <v>17</v>
      </c>
      <c r="I100" s="27">
        <v>21</v>
      </c>
      <c r="J100" s="27">
        <v>44</v>
      </c>
      <c r="K100" s="27">
        <v>18</v>
      </c>
      <c r="L100" s="27">
        <v>74</v>
      </c>
      <c r="M100" s="27">
        <v>36</v>
      </c>
      <c r="N100" s="56">
        <v>41</v>
      </c>
      <c r="O100" s="2">
        <f t="shared" si="13"/>
        <v>326</v>
      </c>
    </row>
    <row r="101" spans="1:15" ht="33" customHeight="1" x14ac:dyDescent="0.25">
      <c r="A101" s="25">
        <f t="shared" ref="A101:A106" si="19">+A100+0.1</f>
        <v>13.2</v>
      </c>
      <c r="B101" s="3" t="s">
        <v>125</v>
      </c>
      <c r="C101" s="27">
        <v>11</v>
      </c>
      <c r="D101" s="27">
        <v>32</v>
      </c>
      <c r="E101" s="27">
        <v>18</v>
      </c>
      <c r="F101" s="27">
        <v>15</v>
      </c>
      <c r="G101" s="27">
        <v>9</v>
      </c>
      <c r="H101" s="27">
        <v>17</v>
      </c>
      <c r="I101" s="27">
        <v>24</v>
      </c>
      <c r="J101" s="27">
        <v>24</v>
      </c>
      <c r="K101" s="27">
        <v>41</v>
      </c>
      <c r="L101" s="27">
        <v>18</v>
      </c>
      <c r="M101" s="27">
        <v>17</v>
      </c>
      <c r="N101" s="56">
        <v>21</v>
      </c>
      <c r="O101" s="2">
        <f t="shared" si="13"/>
        <v>247</v>
      </c>
    </row>
    <row r="102" spans="1:15" ht="33" customHeight="1" x14ac:dyDescent="0.25">
      <c r="A102" s="25">
        <f t="shared" si="19"/>
        <v>13.299999999999999</v>
      </c>
      <c r="B102" s="3" t="s">
        <v>126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56">
        <v>0</v>
      </c>
      <c r="O102" s="2">
        <f t="shared" si="13"/>
        <v>0</v>
      </c>
    </row>
    <row r="103" spans="1:15" ht="33" customHeight="1" x14ac:dyDescent="0.25">
      <c r="A103" s="25">
        <f t="shared" si="19"/>
        <v>13.399999999999999</v>
      </c>
      <c r="B103" s="3" t="s">
        <v>127</v>
      </c>
      <c r="C103" s="27">
        <v>0</v>
      </c>
      <c r="D103" s="27">
        <v>0</v>
      </c>
      <c r="E103" s="27">
        <v>0</v>
      </c>
      <c r="F103" s="27">
        <v>1</v>
      </c>
      <c r="G103" s="27">
        <v>12</v>
      </c>
      <c r="H103" s="27">
        <v>0</v>
      </c>
      <c r="I103" s="27">
        <v>0</v>
      </c>
      <c r="J103" s="27">
        <v>0</v>
      </c>
      <c r="K103" s="27">
        <v>0</v>
      </c>
      <c r="L103" s="27">
        <v>3</v>
      </c>
      <c r="M103" s="27">
        <v>14</v>
      </c>
      <c r="N103" s="56">
        <v>0</v>
      </c>
      <c r="O103" s="2">
        <f t="shared" si="13"/>
        <v>30</v>
      </c>
    </row>
    <row r="104" spans="1:15" ht="33" customHeight="1" x14ac:dyDescent="0.25">
      <c r="A104" s="25">
        <f t="shared" si="19"/>
        <v>13.499999999999998</v>
      </c>
      <c r="B104" s="3" t="s">
        <v>128</v>
      </c>
      <c r="C104" s="27">
        <v>0</v>
      </c>
      <c r="D104" s="27">
        <v>0</v>
      </c>
      <c r="E104" s="27">
        <v>0</v>
      </c>
      <c r="F104" s="27">
        <v>0</v>
      </c>
      <c r="G104" s="27">
        <v>3</v>
      </c>
      <c r="H104" s="27">
        <v>2</v>
      </c>
      <c r="I104" s="27">
        <v>4</v>
      </c>
      <c r="J104" s="27">
        <v>8</v>
      </c>
      <c r="K104" s="27">
        <v>5</v>
      </c>
      <c r="L104" s="27">
        <v>4</v>
      </c>
      <c r="M104" s="27">
        <v>11</v>
      </c>
      <c r="N104" s="56">
        <v>7</v>
      </c>
      <c r="O104" s="2">
        <f t="shared" si="13"/>
        <v>44</v>
      </c>
    </row>
    <row r="105" spans="1:15" ht="33" customHeight="1" x14ac:dyDescent="0.25">
      <c r="A105" s="25">
        <f t="shared" si="19"/>
        <v>13.599999999999998</v>
      </c>
      <c r="B105" s="3" t="s">
        <v>129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56">
        <v>0</v>
      </c>
      <c r="O105" s="2">
        <f t="shared" si="13"/>
        <v>0</v>
      </c>
    </row>
    <row r="106" spans="1:15" ht="33" customHeight="1" x14ac:dyDescent="0.25">
      <c r="A106" s="25">
        <f t="shared" si="19"/>
        <v>13.699999999999998</v>
      </c>
      <c r="B106" s="9" t="s">
        <v>61</v>
      </c>
      <c r="C106" s="2">
        <f>SUM(C100:C105)</f>
        <v>14</v>
      </c>
      <c r="D106" s="2">
        <f t="shared" ref="D106:I106" si="20">SUM(D100:D105)</f>
        <v>51</v>
      </c>
      <c r="E106" s="2">
        <f t="shared" si="20"/>
        <v>42</v>
      </c>
      <c r="F106" s="2">
        <f t="shared" si="20"/>
        <v>35</v>
      </c>
      <c r="G106" s="2">
        <f t="shared" si="20"/>
        <v>34</v>
      </c>
      <c r="H106" s="2">
        <f t="shared" si="20"/>
        <v>36</v>
      </c>
      <c r="I106" s="2">
        <f t="shared" si="20"/>
        <v>49</v>
      </c>
      <c r="J106" s="2">
        <v>76</v>
      </c>
      <c r="K106" s="2">
        <f t="shared" ref="K106" si="21">SUM(K100:K105)</f>
        <v>64</v>
      </c>
      <c r="L106" s="2">
        <f>SUM(L100:L105)</f>
        <v>99</v>
      </c>
      <c r="M106" s="2">
        <f>SUM(M100:M105)</f>
        <v>78</v>
      </c>
      <c r="N106" s="57">
        <f>SUM(N100:N105)</f>
        <v>69</v>
      </c>
      <c r="O106" s="2">
        <f t="shared" si="13"/>
        <v>647</v>
      </c>
    </row>
    <row r="107" spans="1:15" ht="30" customHeight="1" x14ac:dyDescent="0.25">
      <c r="A107" s="37">
        <f>+A99+1</f>
        <v>14</v>
      </c>
      <c r="B107" s="37" t="s">
        <v>130</v>
      </c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60"/>
      <c r="O107" s="37"/>
    </row>
    <row r="108" spans="1:15" ht="33" customHeight="1" x14ac:dyDescent="0.25">
      <c r="A108" s="25">
        <f>+A107+0.1</f>
        <v>14.1</v>
      </c>
      <c r="B108" s="3" t="s">
        <v>131</v>
      </c>
      <c r="C108" s="27">
        <v>1</v>
      </c>
      <c r="D108" s="27">
        <v>0</v>
      </c>
      <c r="E108" s="27">
        <v>3</v>
      </c>
      <c r="F108" s="27">
        <v>1</v>
      </c>
      <c r="G108" s="27">
        <v>3</v>
      </c>
      <c r="H108" s="27">
        <v>0</v>
      </c>
      <c r="I108" s="27">
        <v>4</v>
      </c>
      <c r="J108" s="27">
        <v>8</v>
      </c>
      <c r="K108" s="27">
        <v>17</v>
      </c>
      <c r="L108" s="27">
        <v>1</v>
      </c>
      <c r="M108" s="27">
        <v>5</v>
      </c>
      <c r="N108" s="56">
        <v>1</v>
      </c>
      <c r="O108" s="2">
        <f t="shared" si="13"/>
        <v>44</v>
      </c>
    </row>
    <row r="109" spans="1:15" ht="33" customHeight="1" x14ac:dyDescent="0.25">
      <c r="A109" s="25">
        <f t="shared" ref="A109:A116" si="22">+A108+0.1</f>
        <v>14.2</v>
      </c>
      <c r="B109" s="3" t="s">
        <v>132</v>
      </c>
      <c r="C109" s="27">
        <v>6</v>
      </c>
      <c r="D109" s="27">
        <v>2</v>
      </c>
      <c r="E109" s="27">
        <v>6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3</v>
      </c>
      <c r="M109" s="27">
        <v>0</v>
      </c>
      <c r="N109" s="56">
        <v>2</v>
      </c>
      <c r="O109" s="2">
        <f t="shared" si="13"/>
        <v>19</v>
      </c>
    </row>
    <row r="110" spans="1:15" ht="33" customHeight="1" x14ac:dyDescent="0.25">
      <c r="A110" s="25">
        <f t="shared" si="22"/>
        <v>14.299999999999999</v>
      </c>
      <c r="B110" s="3" t="s">
        <v>133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2</v>
      </c>
      <c r="L110" s="27">
        <v>0</v>
      </c>
      <c r="M110" s="27">
        <v>0</v>
      </c>
      <c r="N110" s="56">
        <v>0</v>
      </c>
      <c r="O110" s="2">
        <f t="shared" si="13"/>
        <v>2</v>
      </c>
    </row>
    <row r="111" spans="1:15" ht="33" customHeight="1" x14ac:dyDescent="0.25">
      <c r="A111" s="25">
        <f t="shared" si="22"/>
        <v>14.399999999999999</v>
      </c>
      <c r="B111" s="3" t="s">
        <v>134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7</v>
      </c>
      <c r="L111" s="27">
        <v>0</v>
      </c>
      <c r="M111" s="27">
        <v>0</v>
      </c>
      <c r="N111" s="56">
        <v>0</v>
      </c>
      <c r="O111" s="2">
        <f t="shared" si="13"/>
        <v>7</v>
      </c>
    </row>
    <row r="112" spans="1:15" ht="33" customHeight="1" x14ac:dyDescent="0.25">
      <c r="A112" s="25">
        <f t="shared" si="22"/>
        <v>14.499999999999998</v>
      </c>
      <c r="B112" s="3" t="s">
        <v>135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1</v>
      </c>
      <c r="L112" s="27">
        <v>0</v>
      </c>
      <c r="M112" s="27">
        <v>0</v>
      </c>
      <c r="N112" s="56">
        <v>0</v>
      </c>
      <c r="O112" s="2">
        <f t="shared" si="13"/>
        <v>1</v>
      </c>
    </row>
    <row r="113" spans="1:15" ht="33" customHeight="1" x14ac:dyDescent="0.25">
      <c r="A113" s="25">
        <f t="shared" si="22"/>
        <v>14.599999999999998</v>
      </c>
      <c r="B113" s="3" t="s">
        <v>136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2</v>
      </c>
      <c r="J113" s="27">
        <v>0</v>
      </c>
      <c r="K113" s="27">
        <v>0</v>
      </c>
      <c r="L113" s="27">
        <v>0</v>
      </c>
      <c r="M113" s="27">
        <v>0</v>
      </c>
      <c r="N113" s="56">
        <v>0</v>
      </c>
      <c r="O113" s="2">
        <f t="shared" si="13"/>
        <v>2</v>
      </c>
    </row>
    <row r="114" spans="1:15" ht="33" customHeight="1" x14ac:dyDescent="0.25">
      <c r="A114" s="25">
        <f t="shared" si="22"/>
        <v>14.699999999999998</v>
      </c>
      <c r="B114" s="3" t="s">
        <v>137</v>
      </c>
      <c r="C114" s="36" t="s">
        <v>259</v>
      </c>
      <c r="D114" s="36" t="s">
        <v>259</v>
      </c>
      <c r="E114" s="15" t="s">
        <v>259</v>
      </c>
      <c r="F114" s="15" t="s">
        <v>259</v>
      </c>
      <c r="G114" s="15" t="s">
        <v>259</v>
      </c>
      <c r="H114" s="15" t="s">
        <v>259</v>
      </c>
      <c r="I114" s="15" t="s">
        <v>259</v>
      </c>
      <c r="J114" s="15" t="s">
        <v>259</v>
      </c>
      <c r="K114" s="27" t="s">
        <v>259</v>
      </c>
      <c r="L114" s="27" t="s">
        <v>259</v>
      </c>
      <c r="M114" s="27" t="s">
        <v>259</v>
      </c>
      <c r="N114" s="56" t="s">
        <v>259</v>
      </c>
      <c r="O114" s="2">
        <f t="shared" si="13"/>
        <v>0</v>
      </c>
    </row>
    <row r="115" spans="1:15" ht="33" customHeight="1" x14ac:dyDescent="0.25">
      <c r="A115" s="25">
        <f t="shared" si="22"/>
        <v>14.799999999999997</v>
      </c>
      <c r="B115" s="3" t="s">
        <v>138</v>
      </c>
      <c r="C115" s="36">
        <v>12</v>
      </c>
      <c r="D115" s="36">
        <v>13</v>
      </c>
      <c r="E115" s="27">
        <v>14</v>
      </c>
      <c r="F115" s="27">
        <v>0</v>
      </c>
      <c r="G115" s="27">
        <v>0</v>
      </c>
      <c r="H115" s="27">
        <v>0</v>
      </c>
      <c r="I115" s="27">
        <v>0</v>
      </c>
      <c r="J115" s="27">
        <v>2</v>
      </c>
      <c r="K115" s="27">
        <v>0</v>
      </c>
      <c r="L115" s="27">
        <v>2</v>
      </c>
      <c r="M115" s="48">
        <v>735</v>
      </c>
      <c r="N115" s="56">
        <v>86</v>
      </c>
      <c r="O115" s="2">
        <f t="shared" si="13"/>
        <v>864</v>
      </c>
    </row>
    <row r="116" spans="1:15" ht="33" customHeight="1" x14ac:dyDescent="0.25">
      <c r="A116" s="25">
        <f t="shared" si="22"/>
        <v>14.899999999999997</v>
      </c>
      <c r="B116" s="3" t="s">
        <v>139</v>
      </c>
      <c r="C116" s="36">
        <v>0</v>
      </c>
      <c r="D116" s="36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48">
        <v>6</v>
      </c>
      <c r="N116" s="56">
        <v>0</v>
      </c>
      <c r="O116" s="2">
        <f t="shared" si="13"/>
        <v>6</v>
      </c>
    </row>
    <row r="117" spans="1:15" ht="33" customHeight="1" x14ac:dyDescent="0.25">
      <c r="A117" s="6">
        <v>14.1</v>
      </c>
      <c r="B117" s="3" t="s">
        <v>140</v>
      </c>
      <c r="C117" s="36">
        <v>0</v>
      </c>
      <c r="D117" s="36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48">
        <v>735</v>
      </c>
      <c r="N117" s="56">
        <v>86</v>
      </c>
      <c r="O117" s="2">
        <f t="shared" si="13"/>
        <v>821</v>
      </c>
    </row>
    <row r="118" spans="1:15" ht="30" customHeight="1" x14ac:dyDescent="0.25">
      <c r="A118" s="37">
        <f>+A107+1</f>
        <v>15</v>
      </c>
      <c r="B118" s="37" t="s">
        <v>141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60"/>
      <c r="O118" s="37"/>
    </row>
    <row r="119" spans="1:15" ht="33" customHeight="1" x14ac:dyDescent="0.25">
      <c r="A119" s="25">
        <f>+A118+0.1</f>
        <v>15.1</v>
      </c>
      <c r="B119" s="3" t="s">
        <v>142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56">
        <v>0</v>
      </c>
      <c r="O119" s="2">
        <f t="shared" si="13"/>
        <v>0</v>
      </c>
    </row>
    <row r="120" spans="1:15" ht="33" customHeight="1" x14ac:dyDescent="0.25">
      <c r="A120" s="25">
        <f>+A119+0.1</f>
        <v>15.2</v>
      </c>
      <c r="B120" s="3" t="s">
        <v>143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56">
        <v>0</v>
      </c>
      <c r="O120" s="2">
        <f t="shared" si="13"/>
        <v>0</v>
      </c>
    </row>
    <row r="121" spans="1:15" ht="33" customHeight="1" x14ac:dyDescent="0.25">
      <c r="A121" s="25">
        <f>+A120+0.1</f>
        <v>15.299999999999999</v>
      </c>
      <c r="B121" s="3" t="s">
        <v>144</v>
      </c>
      <c r="C121" s="27">
        <v>49</v>
      </c>
      <c r="D121" s="27">
        <v>49</v>
      </c>
      <c r="E121" s="27">
        <v>57</v>
      </c>
      <c r="F121" s="27">
        <v>36</v>
      </c>
      <c r="G121" s="27">
        <v>76</v>
      </c>
      <c r="H121" s="27">
        <v>79</v>
      </c>
      <c r="I121" s="27">
        <v>87</v>
      </c>
      <c r="J121" s="27">
        <v>88</v>
      </c>
      <c r="K121" s="27">
        <v>64</v>
      </c>
      <c r="L121" s="27">
        <v>69</v>
      </c>
      <c r="M121" s="27">
        <v>68</v>
      </c>
      <c r="N121" s="56">
        <v>41</v>
      </c>
      <c r="O121" s="2">
        <f t="shared" si="13"/>
        <v>763</v>
      </c>
    </row>
    <row r="122" spans="1:15" ht="33" customHeight="1" x14ac:dyDescent="0.25">
      <c r="A122" s="25">
        <f>+A121+0.1</f>
        <v>15.399999999999999</v>
      </c>
      <c r="B122" s="3" t="s">
        <v>145</v>
      </c>
      <c r="C122" s="27">
        <v>102362.2</v>
      </c>
      <c r="D122" s="27">
        <v>175739.2</v>
      </c>
      <c r="E122" s="27">
        <v>94206.35</v>
      </c>
      <c r="F122" s="27">
        <v>122932.75</v>
      </c>
      <c r="G122" s="27">
        <v>207000.3</v>
      </c>
      <c r="H122" s="8">
        <v>249245.5</v>
      </c>
      <c r="I122" s="8">
        <v>267851.3</v>
      </c>
      <c r="J122" s="8">
        <v>276282.3</v>
      </c>
      <c r="K122" s="8">
        <v>149788.1</v>
      </c>
      <c r="L122" s="8">
        <v>218830.1</v>
      </c>
      <c r="M122" s="8">
        <v>246288.35</v>
      </c>
      <c r="N122" s="8">
        <v>158841.20000000001</v>
      </c>
      <c r="O122" s="7">
        <f>SUM(C122:N122)</f>
        <v>2269367.6500000004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rowBreaks count="1" manualBreakCount="1">
    <brk id="85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O29"/>
  <sheetViews>
    <sheetView zoomScale="80" zoomScaleNormal="80" zoomScaleSheetLayoutView="70" workbookViewId="0">
      <selection activeCell="K24" sqref="K24"/>
    </sheetView>
  </sheetViews>
  <sheetFormatPr baseColWidth="10" defaultRowHeight="15.75" x14ac:dyDescent="0.25"/>
  <cols>
    <col min="1" max="1" width="8.42578125" style="1" customWidth="1"/>
    <col min="2" max="2" width="30.140625" style="1" customWidth="1"/>
    <col min="3" max="10" width="14.28515625" style="1" customWidth="1"/>
    <col min="11" max="11" width="17.42578125" style="1" bestFit="1" customWidth="1"/>
    <col min="12" max="12" width="14.28515625" style="1" customWidth="1"/>
    <col min="13" max="13" width="17.28515625" style="1" bestFit="1" customWidth="1"/>
    <col min="14" max="14" width="16.42578125" style="1" bestFit="1" customWidth="1"/>
    <col min="15" max="15" width="14.4257812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0" customHeight="1" x14ac:dyDescent="0.25">
      <c r="A5" s="37">
        <v>1</v>
      </c>
      <c r="B5" s="37" t="s">
        <v>152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33" customHeight="1" x14ac:dyDescent="0.25">
      <c r="A6" s="24">
        <f>+A5+0.1</f>
        <v>1.1000000000000001</v>
      </c>
      <c r="B6" s="18" t="s">
        <v>146</v>
      </c>
      <c r="C6" s="45">
        <v>1438</v>
      </c>
      <c r="D6" s="45">
        <v>1168</v>
      </c>
      <c r="E6" s="45">
        <v>1691</v>
      </c>
      <c r="F6" s="45">
        <v>1531</v>
      </c>
      <c r="G6" s="45">
        <v>3129</v>
      </c>
      <c r="H6" s="45">
        <v>2086</v>
      </c>
      <c r="I6" s="46">
        <v>1875</v>
      </c>
      <c r="J6" s="45">
        <v>1210</v>
      </c>
      <c r="K6" s="36">
        <v>1098</v>
      </c>
      <c r="L6" s="36">
        <v>1472</v>
      </c>
      <c r="M6" s="48">
        <v>2164</v>
      </c>
      <c r="N6" s="48">
        <v>1412</v>
      </c>
      <c r="O6" s="2">
        <f>SUM(C6:N6)</f>
        <v>20274</v>
      </c>
    </row>
    <row r="7" spans="1:15" ht="33" customHeight="1" x14ac:dyDescent="0.25">
      <c r="A7" s="24">
        <f>+A6+0.1</f>
        <v>1.2000000000000002</v>
      </c>
      <c r="B7" s="18" t="s">
        <v>147</v>
      </c>
      <c r="C7" s="36">
        <v>66</v>
      </c>
      <c r="D7" s="36">
        <v>59</v>
      </c>
      <c r="E7" s="36">
        <v>52</v>
      </c>
      <c r="F7" s="36">
        <v>50</v>
      </c>
      <c r="G7" s="36">
        <v>40</v>
      </c>
      <c r="H7" s="36">
        <v>50</v>
      </c>
      <c r="I7" s="36">
        <v>49</v>
      </c>
      <c r="J7" s="36">
        <v>44</v>
      </c>
      <c r="K7" s="36">
        <v>47</v>
      </c>
      <c r="L7" s="36">
        <v>57</v>
      </c>
      <c r="M7" s="48">
        <v>43</v>
      </c>
      <c r="N7" s="48">
        <v>29</v>
      </c>
      <c r="O7" s="2">
        <f>SUM(C7:N7)</f>
        <v>586</v>
      </c>
    </row>
    <row r="8" spans="1:15" ht="33" customHeight="1" x14ac:dyDescent="0.25">
      <c r="A8" s="24">
        <f>+A7+0.1</f>
        <v>1.3000000000000003</v>
      </c>
      <c r="B8" s="18" t="s">
        <v>148</v>
      </c>
      <c r="C8" s="36">
        <v>1372</v>
      </c>
      <c r="D8" s="36">
        <v>1109</v>
      </c>
      <c r="E8" s="36">
        <v>1639</v>
      </c>
      <c r="F8" s="36">
        <v>1109</v>
      </c>
      <c r="G8" s="36">
        <v>2589</v>
      </c>
      <c r="H8" s="36">
        <v>2036</v>
      </c>
      <c r="I8" s="36">
        <v>1826</v>
      </c>
      <c r="J8" s="36">
        <v>1166</v>
      </c>
      <c r="K8" s="36">
        <v>1051</v>
      </c>
      <c r="L8" s="36">
        <v>1415</v>
      </c>
      <c r="M8" s="48">
        <v>2121</v>
      </c>
      <c r="N8" s="48">
        <v>1383</v>
      </c>
      <c r="O8" s="2">
        <f>SUM(C8:N8)</f>
        <v>18816</v>
      </c>
    </row>
    <row r="9" spans="1:15" ht="33" customHeight="1" x14ac:dyDescent="0.25">
      <c r="A9" s="24">
        <f>+A8+0.1</f>
        <v>1.4000000000000004</v>
      </c>
      <c r="B9" s="18" t="s">
        <v>149</v>
      </c>
      <c r="C9" s="36">
        <v>7392</v>
      </c>
      <c r="D9" s="36">
        <v>6979</v>
      </c>
      <c r="E9" s="36">
        <v>6151</v>
      </c>
      <c r="F9" s="36">
        <v>5914</v>
      </c>
      <c r="G9" s="36">
        <v>4731</v>
      </c>
      <c r="H9" s="36">
        <v>5914</v>
      </c>
      <c r="I9" s="36">
        <v>5795.72</v>
      </c>
      <c r="J9" s="36">
        <v>5204</v>
      </c>
      <c r="K9" s="36">
        <v>5559.16</v>
      </c>
      <c r="L9" s="36">
        <v>6741.96</v>
      </c>
      <c r="M9" s="48">
        <v>5086.04</v>
      </c>
      <c r="N9" s="48">
        <v>3430.12</v>
      </c>
      <c r="O9" s="2">
        <f>SUM(C9:N9)</f>
        <v>68898</v>
      </c>
    </row>
    <row r="10" spans="1:15" ht="33" customHeight="1" x14ac:dyDescent="0.25">
      <c r="A10" s="24">
        <f>+A9+0.1</f>
        <v>1.5000000000000004</v>
      </c>
      <c r="B10" s="18" t="s">
        <v>160</v>
      </c>
      <c r="C10" s="36">
        <v>0</v>
      </c>
      <c r="D10" s="36">
        <v>299</v>
      </c>
      <c r="E10" s="36">
        <v>1527</v>
      </c>
      <c r="F10" s="36">
        <v>372</v>
      </c>
      <c r="G10" s="36">
        <v>500</v>
      </c>
      <c r="H10" s="36">
        <v>325</v>
      </c>
      <c r="I10" s="36">
        <v>2210</v>
      </c>
      <c r="J10" s="36">
        <v>1021</v>
      </c>
      <c r="K10" s="36">
        <v>1508</v>
      </c>
      <c r="L10" s="36">
        <v>1827</v>
      </c>
      <c r="M10" s="48">
        <v>1827</v>
      </c>
      <c r="N10" s="48">
        <v>677</v>
      </c>
      <c r="O10" s="2">
        <f>SUM(C10:N10)</f>
        <v>12093</v>
      </c>
    </row>
    <row r="11" spans="1:15" ht="30" customHeight="1" x14ac:dyDescent="0.25">
      <c r="A11" s="37">
        <f>+A5+1</f>
        <v>2</v>
      </c>
      <c r="B11" s="37" t="s">
        <v>163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33" customHeight="1" x14ac:dyDescent="0.25">
      <c r="A12" s="24">
        <f>+A11+0.1</f>
        <v>2.1</v>
      </c>
      <c r="B12" s="18" t="s">
        <v>164</v>
      </c>
      <c r="C12" s="36">
        <v>27</v>
      </c>
      <c r="D12" s="36">
        <v>37</v>
      </c>
      <c r="E12" s="36">
        <v>35</v>
      </c>
      <c r="F12" s="36">
        <v>40</v>
      </c>
      <c r="G12" s="36">
        <v>112</v>
      </c>
      <c r="H12" s="36">
        <v>90</v>
      </c>
      <c r="I12" s="36">
        <v>49</v>
      </c>
      <c r="J12" s="36">
        <v>48</v>
      </c>
      <c r="K12" s="36">
        <v>72</v>
      </c>
      <c r="L12" s="36">
        <v>53</v>
      </c>
      <c r="M12" s="48">
        <v>41</v>
      </c>
      <c r="N12" s="48">
        <v>12</v>
      </c>
      <c r="O12" s="2">
        <f>SUM(C12:N12)</f>
        <v>616</v>
      </c>
    </row>
    <row r="13" spans="1:15" ht="33" customHeight="1" x14ac:dyDescent="0.25">
      <c r="A13" s="24">
        <f>+A12+0.1</f>
        <v>2.2000000000000002</v>
      </c>
      <c r="B13" s="18" t="s">
        <v>165</v>
      </c>
      <c r="C13" s="36">
        <v>18</v>
      </c>
      <c r="D13" s="36">
        <v>23</v>
      </c>
      <c r="E13" s="36">
        <v>11</v>
      </c>
      <c r="F13" s="36">
        <v>14</v>
      </c>
      <c r="G13" s="36">
        <v>47</v>
      </c>
      <c r="H13" s="36">
        <v>32</v>
      </c>
      <c r="I13" s="36">
        <v>15</v>
      </c>
      <c r="J13" s="36">
        <v>16</v>
      </c>
      <c r="K13" s="36">
        <v>23</v>
      </c>
      <c r="L13" s="36">
        <v>20</v>
      </c>
      <c r="M13" s="48">
        <v>14</v>
      </c>
      <c r="N13" s="48">
        <v>10</v>
      </c>
      <c r="O13" s="2">
        <f>SUM(C13:N13)</f>
        <v>243</v>
      </c>
    </row>
    <row r="14" spans="1:15" ht="33" customHeight="1" x14ac:dyDescent="0.25">
      <c r="A14" s="24">
        <f>+A13+0.1</f>
        <v>2.3000000000000003</v>
      </c>
      <c r="B14" s="18" t="s">
        <v>166</v>
      </c>
      <c r="C14" s="36">
        <v>9</v>
      </c>
      <c r="D14" s="36">
        <v>14</v>
      </c>
      <c r="E14" s="36">
        <v>24</v>
      </c>
      <c r="F14" s="36">
        <v>26</v>
      </c>
      <c r="G14" s="36">
        <v>65</v>
      </c>
      <c r="H14" s="36">
        <v>58</v>
      </c>
      <c r="I14" s="36">
        <v>34</v>
      </c>
      <c r="J14" s="36">
        <v>32</v>
      </c>
      <c r="K14" s="36">
        <v>49</v>
      </c>
      <c r="L14" s="36">
        <v>3</v>
      </c>
      <c r="M14" s="48">
        <v>25</v>
      </c>
      <c r="N14" s="48">
        <v>2</v>
      </c>
      <c r="O14" s="2">
        <f>SUM(C14:N14)</f>
        <v>341</v>
      </c>
    </row>
    <row r="15" spans="1:15" ht="30" customHeight="1" x14ac:dyDescent="0.25">
      <c r="A15" s="37">
        <f>+A11+1</f>
        <v>3</v>
      </c>
      <c r="B15" s="37" t="s">
        <v>151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34.5" customHeight="1" x14ac:dyDescent="0.25">
      <c r="A16" s="25">
        <f>+A15+0.1</f>
        <v>3.1</v>
      </c>
      <c r="B16" s="3" t="s">
        <v>161</v>
      </c>
      <c r="C16" s="27">
        <v>1443</v>
      </c>
      <c r="D16" s="27">
        <v>2303</v>
      </c>
      <c r="E16" s="27">
        <v>1503</v>
      </c>
      <c r="F16" s="27">
        <v>880</v>
      </c>
      <c r="G16" s="27">
        <v>2446</v>
      </c>
      <c r="H16" s="27">
        <v>2386</v>
      </c>
      <c r="I16" s="27">
        <v>1942</v>
      </c>
      <c r="J16" s="27">
        <v>2028</v>
      </c>
      <c r="K16" s="27">
        <v>1275</v>
      </c>
      <c r="L16" s="27">
        <v>2225</v>
      </c>
      <c r="M16" s="27">
        <v>2050</v>
      </c>
      <c r="N16" s="27">
        <v>1215</v>
      </c>
      <c r="O16" s="2">
        <f>SUM(C16:N16)</f>
        <v>21696</v>
      </c>
    </row>
    <row r="17" spans="1:15" ht="30" customHeight="1" x14ac:dyDescent="0.25">
      <c r="A17" s="37">
        <f>+A15+1</f>
        <v>4</v>
      </c>
      <c r="B17" s="37" t="s">
        <v>159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38.25" customHeight="1" x14ac:dyDescent="0.25">
      <c r="A18" s="25">
        <f>+A17+0.1</f>
        <v>4.0999999999999996</v>
      </c>
      <c r="B18" s="3" t="s">
        <v>162</v>
      </c>
      <c r="C18" s="27">
        <v>103</v>
      </c>
      <c r="D18" s="27">
        <v>200</v>
      </c>
      <c r="E18" s="27">
        <v>317</v>
      </c>
      <c r="F18" s="27">
        <v>357</v>
      </c>
      <c r="G18" s="27">
        <v>638</v>
      </c>
      <c r="H18" s="27">
        <v>353</v>
      </c>
      <c r="I18" s="27">
        <v>822</v>
      </c>
      <c r="J18" s="27">
        <v>574</v>
      </c>
      <c r="K18" s="27">
        <v>754</v>
      </c>
      <c r="L18" s="27">
        <v>655</v>
      </c>
      <c r="M18" s="27">
        <v>788</v>
      </c>
      <c r="N18" s="27">
        <v>351</v>
      </c>
      <c r="O18" s="2">
        <f>SUM(C18:N18)</f>
        <v>5912</v>
      </c>
    </row>
    <row r="19" spans="1:15" ht="30" customHeight="1" x14ac:dyDescent="0.25">
      <c r="A19" s="37">
        <f>+A17+1</f>
        <v>5</v>
      </c>
      <c r="B19" s="37" t="s">
        <v>153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27" customHeight="1" x14ac:dyDescent="0.25">
      <c r="A20" s="25">
        <f>+A19+0.1</f>
        <v>5.0999999999999996</v>
      </c>
      <c r="B20" s="3" t="s">
        <v>154</v>
      </c>
      <c r="C20" s="27">
        <v>0</v>
      </c>
      <c r="D20" s="27">
        <v>3</v>
      </c>
      <c r="E20" s="27">
        <v>2</v>
      </c>
      <c r="F20" s="27">
        <v>1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">
        <f>SUM(C20:N20)</f>
        <v>7</v>
      </c>
    </row>
    <row r="21" spans="1:15" ht="33" customHeight="1" x14ac:dyDescent="0.25">
      <c r="A21" s="25">
        <f>+A20+0.1</f>
        <v>5.1999999999999993</v>
      </c>
      <c r="B21" s="3" t="s">
        <v>155</v>
      </c>
      <c r="C21" s="27">
        <v>109</v>
      </c>
      <c r="D21" s="27">
        <v>87</v>
      </c>
      <c r="E21" s="27">
        <v>95</v>
      </c>
      <c r="F21" s="27">
        <v>70</v>
      </c>
      <c r="G21" s="27">
        <v>98</v>
      </c>
      <c r="H21" s="27">
        <v>85</v>
      </c>
      <c r="I21" s="27">
        <v>66</v>
      </c>
      <c r="J21" s="27">
        <v>103</v>
      </c>
      <c r="K21" s="27">
        <v>98</v>
      </c>
      <c r="L21" s="27">
        <v>112</v>
      </c>
      <c r="M21" s="27">
        <v>143</v>
      </c>
      <c r="N21" s="27">
        <v>113</v>
      </c>
      <c r="O21" s="2">
        <f>SUM(C21:N21)</f>
        <v>1179</v>
      </c>
    </row>
    <row r="22" spans="1:15" ht="27" customHeight="1" x14ac:dyDescent="0.25">
      <c r="A22" s="25">
        <f>+A21+0.1</f>
        <v>5.2999999999999989</v>
      </c>
      <c r="B22" s="3" t="s">
        <v>156</v>
      </c>
      <c r="C22" s="27">
        <v>120</v>
      </c>
      <c r="D22" s="27">
        <v>126</v>
      </c>
      <c r="E22" s="27">
        <v>158</v>
      </c>
      <c r="F22" s="27">
        <v>160</v>
      </c>
      <c r="G22" s="27">
        <v>343</v>
      </c>
      <c r="H22" s="27">
        <v>136</v>
      </c>
      <c r="I22" s="27">
        <v>280</v>
      </c>
      <c r="J22" s="27">
        <v>214</v>
      </c>
      <c r="K22" s="27">
        <v>248</v>
      </c>
      <c r="L22" s="27">
        <v>271</v>
      </c>
      <c r="M22" s="27">
        <v>218</v>
      </c>
      <c r="N22" s="27">
        <v>215</v>
      </c>
      <c r="O22" s="2">
        <f>SUM(C22:N22)</f>
        <v>2489</v>
      </c>
    </row>
    <row r="23" spans="1:15" ht="37.5" customHeight="1" x14ac:dyDescent="0.25">
      <c r="A23" s="25">
        <f>+A22+0.1</f>
        <v>5.3999999999999986</v>
      </c>
      <c r="B23" s="3" t="s">
        <v>157</v>
      </c>
      <c r="C23" s="27">
        <v>2</v>
      </c>
      <c r="D23" s="27">
        <v>3</v>
      </c>
      <c r="E23" s="27">
        <v>1</v>
      </c>
      <c r="F23" s="27">
        <v>0</v>
      </c>
      <c r="G23" s="27">
        <v>9</v>
      </c>
      <c r="H23" s="27">
        <v>5</v>
      </c>
      <c r="I23" s="27">
        <v>0</v>
      </c>
      <c r="J23" s="27">
        <v>25</v>
      </c>
      <c r="K23" s="27">
        <v>11</v>
      </c>
      <c r="L23" s="27">
        <v>18</v>
      </c>
      <c r="M23" s="27">
        <v>2</v>
      </c>
      <c r="N23" s="27">
        <v>17</v>
      </c>
      <c r="O23" s="2">
        <f>SUM(C23:N23)</f>
        <v>93</v>
      </c>
    </row>
    <row r="24" spans="1:15" ht="63" customHeight="1" x14ac:dyDescent="0.25">
      <c r="A24" s="25">
        <f>+A23+0.1</f>
        <v>5.4999999999999982</v>
      </c>
      <c r="B24" s="3" t="s">
        <v>158</v>
      </c>
      <c r="C24" s="27">
        <v>2</v>
      </c>
      <c r="D24" s="27">
        <v>3</v>
      </c>
      <c r="E24" s="27">
        <v>1</v>
      </c>
      <c r="F24" s="27">
        <v>0</v>
      </c>
      <c r="G24" s="27">
        <v>9</v>
      </c>
      <c r="H24" s="27">
        <v>5</v>
      </c>
      <c r="I24" s="27">
        <v>0</v>
      </c>
      <c r="J24" s="27">
        <v>25</v>
      </c>
      <c r="K24" s="27">
        <v>11</v>
      </c>
      <c r="L24" s="27">
        <v>0</v>
      </c>
      <c r="M24" s="27">
        <v>6</v>
      </c>
      <c r="N24" s="27">
        <v>17</v>
      </c>
      <c r="O24" s="2">
        <f>SUM(C24:N24)</f>
        <v>79</v>
      </c>
    </row>
    <row r="25" spans="1:15" ht="27" customHeight="1" x14ac:dyDescent="0.25"/>
    <row r="26" spans="1:15" ht="15.75" customHeight="1" x14ac:dyDescent="0.25">
      <c r="A26" s="68" t="s">
        <v>150</v>
      </c>
      <c r="B26" s="68"/>
    </row>
    <row r="27" spans="1:15" x14ac:dyDescent="0.25">
      <c r="A27" s="68"/>
      <c r="B27" s="68"/>
    </row>
    <row r="28" spans="1:15" x14ac:dyDescent="0.25">
      <c r="A28" s="19"/>
      <c r="B28" s="19"/>
    </row>
    <row r="29" spans="1:15" x14ac:dyDescent="0.25">
      <c r="A29" s="19"/>
      <c r="B29" s="19"/>
    </row>
  </sheetData>
  <mergeCells count="4">
    <mergeCell ref="A26:B27"/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18"/>
  <sheetViews>
    <sheetView zoomScale="80" zoomScaleNormal="80" zoomScaleSheetLayoutView="70" workbookViewId="0">
      <selection activeCell="J18" sqref="J18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3" width="16.85546875" style="1" customWidth="1"/>
    <col min="4" max="4" width="14.28515625" style="1" customWidth="1"/>
    <col min="5" max="5" width="16.42578125" style="1" customWidth="1"/>
    <col min="6" max="6" width="15.42578125" style="1" customWidth="1"/>
    <col min="7" max="7" width="17.42578125" style="1" customWidth="1"/>
    <col min="8" max="8" width="16.7109375" style="1" customWidth="1"/>
    <col min="9" max="9" width="20.28515625" style="1" customWidth="1"/>
    <col min="10" max="10" width="19.85546875" style="1" customWidth="1"/>
    <col min="11" max="11" width="17.42578125" style="1" bestFit="1" customWidth="1"/>
    <col min="12" max="12" width="14.7109375" style="1" bestFit="1" customWidth="1"/>
    <col min="13" max="13" width="17.28515625" style="1" bestFit="1" customWidth="1"/>
    <col min="14" max="14" width="16.42578125" style="1" bestFit="1" customWidth="1"/>
    <col min="15" max="15" width="17.4257812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0" customHeight="1" x14ac:dyDescent="0.25">
      <c r="A5" s="37">
        <v>1</v>
      </c>
      <c r="B5" s="37" t="s">
        <v>248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33" customHeight="1" x14ac:dyDescent="0.25">
      <c r="A6" s="24">
        <f>+A5+0.1</f>
        <v>1.1000000000000001</v>
      </c>
      <c r="B6" s="18" t="s">
        <v>167</v>
      </c>
      <c r="C6" s="36">
        <v>43</v>
      </c>
      <c r="D6" s="36">
        <v>0</v>
      </c>
      <c r="E6" s="36">
        <v>67</v>
      </c>
      <c r="F6" s="36">
        <v>30</v>
      </c>
      <c r="G6" s="36">
        <v>77</v>
      </c>
      <c r="H6" s="38">
        <v>84</v>
      </c>
      <c r="I6" s="36">
        <v>131</v>
      </c>
      <c r="J6" s="36">
        <v>108</v>
      </c>
      <c r="K6" s="38">
        <v>54</v>
      </c>
      <c r="L6" s="48">
        <v>96</v>
      </c>
      <c r="M6" s="48">
        <v>80</v>
      </c>
      <c r="N6" s="33">
        <v>0</v>
      </c>
      <c r="O6" s="2">
        <f>SUM(C6:N6)</f>
        <v>770</v>
      </c>
    </row>
    <row r="7" spans="1:15" ht="33" customHeight="1" x14ac:dyDescent="0.25">
      <c r="A7" s="24">
        <f t="shared" ref="A7:A13" si="0">+A6+0.1</f>
        <v>1.2000000000000002</v>
      </c>
      <c r="B7" s="18" t="s">
        <v>168</v>
      </c>
      <c r="C7" s="36">
        <v>1029</v>
      </c>
      <c r="D7" s="36">
        <v>0</v>
      </c>
      <c r="E7" s="36">
        <v>1115</v>
      </c>
      <c r="F7" s="36">
        <v>507</v>
      </c>
      <c r="G7" s="36">
        <v>1539</v>
      </c>
      <c r="H7" s="38">
        <v>1619</v>
      </c>
      <c r="I7" s="36">
        <v>1918</v>
      </c>
      <c r="J7" s="36">
        <v>1558</v>
      </c>
      <c r="K7" s="38">
        <v>1048</v>
      </c>
      <c r="L7" s="48">
        <v>1612</v>
      </c>
      <c r="M7" s="48">
        <v>1539</v>
      </c>
      <c r="N7" s="33">
        <v>0</v>
      </c>
      <c r="O7" s="2">
        <f t="shared" ref="O7:O12" si="1">SUM(C7:N7)</f>
        <v>13484</v>
      </c>
    </row>
    <row r="8" spans="1:15" ht="33" customHeight="1" x14ac:dyDescent="0.25">
      <c r="A8" s="24">
        <f t="shared" si="0"/>
        <v>1.3000000000000003</v>
      </c>
      <c r="B8" s="18" t="s">
        <v>249</v>
      </c>
      <c r="C8" s="36">
        <v>743</v>
      </c>
      <c r="D8" s="36">
        <v>0</v>
      </c>
      <c r="E8" s="36">
        <v>708</v>
      </c>
      <c r="F8" s="36">
        <v>362</v>
      </c>
      <c r="G8" s="36">
        <v>1070</v>
      </c>
      <c r="H8" s="38">
        <v>998</v>
      </c>
      <c r="I8" s="36">
        <v>1196</v>
      </c>
      <c r="J8" s="36">
        <v>985</v>
      </c>
      <c r="K8" s="38">
        <v>575</v>
      </c>
      <c r="L8" s="48">
        <v>934</v>
      </c>
      <c r="M8" s="48">
        <v>874</v>
      </c>
      <c r="N8" s="33">
        <v>0</v>
      </c>
      <c r="O8" s="2">
        <f t="shared" si="1"/>
        <v>8445</v>
      </c>
    </row>
    <row r="9" spans="1:15" ht="33" customHeight="1" x14ac:dyDescent="0.25">
      <c r="A9" s="24">
        <f t="shared" si="0"/>
        <v>1.4000000000000004</v>
      </c>
      <c r="B9" s="18" t="s">
        <v>250</v>
      </c>
      <c r="C9" s="36">
        <v>480</v>
      </c>
      <c r="D9" s="36">
        <v>0</v>
      </c>
      <c r="E9" s="36">
        <v>508</v>
      </c>
      <c r="F9" s="36">
        <v>232</v>
      </c>
      <c r="G9" s="36">
        <v>715</v>
      </c>
      <c r="H9" s="38">
        <v>627</v>
      </c>
      <c r="I9" s="36">
        <v>821</v>
      </c>
      <c r="J9" s="36">
        <v>706</v>
      </c>
      <c r="K9" s="38">
        <v>467</v>
      </c>
      <c r="L9" s="48">
        <v>681</v>
      </c>
      <c r="M9" s="48">
        <v>566</v>
      </c>
      <c r="N9" s="33">
        <v>0</v>
      </c>
      <c r="O9" s="2">
        <f t="shared" si="1"/>
        <v>5803</v>
      </c>
    </row>
    <row r="10" spans="1:15" ht="33" customHeight="1" x14ac:dyDescent="0.25">
      <c r="A10" s="26">
        <f t="shared" si="0"/>
        <v>1.5000000000000004</v>
      </c>
      <c r="B10" s="9" t="s">
        <v>169</v>
      </c>
      <c r="C10" s="2">
        <v>2295</v>
      </c>
      <c r="D10" s="2">
        <v>0</v>
      </c>
      <c r="E10" s="2">
        <v>2398</v>
      </c>
      <c r="F10" s="2">
        <v>1131</v>
      </c>
      <c r="G10" s="2">
        <v>3401</v>
      </c>
      <c r="H10" s="39">
        <v>3328</v>
      </c>
      <c r="I10" s="2">
        <v>4066</v>
      </c>
      <c r="J10" s="2">
        <f>SUM(J6:J9)</f>
        <v>3357</v>
      </c>
      <c r="K10" s="39">
        <f t="shared" ref="K10" si="2">SUM(K6:K9)</f>
        <v>2144</v>
      </c>
      <c r="L10" s="2">
        <v>3323</v>
      </c>
      <c r="M10" s="2">
        <v>3059</v>
      </c>
      <c r="N10" s="51">
        <v>0</v>
      </c>
      <c r="O10" s="2">
        <f>SUM(O6:O9)</f>
        <v>28502</v>
      </c>
    </row>
    <row r="11" spans="1:15" ht="33" customHeight="1" x14ac:dyDescent="0.25">
      <c r="A11" s="24">
        <f t="shared" si="0"/>
        <v>1.6000000000000005</v>
      </c>
      <c r="B11" s="18" t="s">
        <v>246</v>
      </c>
      <c r="C11" s="20">
        <v>573750</v>
      </c>
      <c r="D11" s="36">
        <v>0</v>
      </c>
      <c r="E11" s="36">
        <v>599500</v>
      </c>
      <c r="F11" s="36">
        <v>282750</v>
      </c>
      <c r="G11" s="36">
        <v>850250</v>
      </c>
      <c r="H11" s="40">
        <v>832000</v>
      </c>
      <c r="I11" s="42">
        <v>1016500</v>
      </c>
      <c r="J11" s="42">
        <v>837750</v>
      </c>
      <c r="K11" s="40">
        <f t="shared" ref="K11" si="3">K10*250</f>
        <v>536000</v>
      </c>
      <c r="L11" s="20">
        <v>830750</v>
      </c>
      <c r="M11" s="20">
        <v>764750</v>
      </c>
      <c r="N11" s="32">
        <v>0</v>
      </c>
      <c r="O11" s="14">
        <f t="shared" si="1"/>
        <v>7124000</v>
      </c>
    </row>
    <row r="12" spans="1:15" ht="33" customHeight="1" x14ac:dyDescent="0.25">
      <c r="A12" s="24">
        <f t="shared" si="0"/>
        <v>1.7000000000000006</v>
      </c>
      <c r="B12" s="18" t="s">
        <v>245</v>
      </c>
      <c r="C12" s="20">
        <v>0</v>
      </c>
      <c r="D12" s="36">
        <v>0</v>
      </c>
      <c r="E12" s="36">
        <v>0</v>
      </c>
      <c r="F12" s="36">
        <v>0</v>
      </c>
      <c r="G12" s="36">
        <v>0</v>
      </c>
      <c r="H12" s="38">
        <v>0</v>
      </c>
      <c r="I12" s="36">
        <v>0</v>
      </c>
      <c r="J12" s="36">
        <v>0</v>
      </c>
      <c r="K12" s="38">
        <v>0</v>
      </c>
      <c r="L12" s="48">
        <v>0</v>
      </c>
      <c r="M12" s="48">
        <v>0</v>
      </c>
      <c r="N12" s="33">
        <v>0</v>
      </c>
      <c r="O12" s="14">
        <f t="shared" si="1"/>
        <v>0</v>
      </c>
    </row>
    <row r="13" spans="1:15" ht="33" customHeight="1" x14ac:dyDescent="0.25">
      <c r="A13" s="26">
        <f t="shared" si="0"/>
        <v>1.8000000000000007</v>
      </c>
      <c r="B13" s="9" t="s">
        <v>170</v>
      </c>
      <c r="C13" s="14">
        <v>573750</v>
      </c>
      <c r="D13" s="14">
        <v>0</v>
      </c>
      <c r="E13" s="14">
        <v>599500</v>
      </c>
      <c r="F13" s="14">
        <v>282750</v>
      </c>
      <c r="G13" s="14">
        <v>850250</v>
      </c>
      <c r="H13" s="41">
        <v>832000</v>
      </c>
      <c r="I13" s="14">
        <v>1016500</v>
      </c>
      <c r="J13" s="43">
        <v>837750</v>
      </c>
      <c r="K13" s="41">
        <f t="shared" ref="K13" si="4">SUM(K11:K12)</f>
        <v>536000</v>
      </c>
      <c r="L13" s="14">
        <v>830750</v>
      </c>
      <c r="M13" s="14">
        <v>764750</v>
      </c>
      <c r="N13" s="34">
        <v>0</v>
      </c>
      <c r="O13" s="14">
        <f>SUM(O11:O12)</f>
        <v>7124000</v>
      </c>
    </row>
    <row r="14" spans="1:15" ht="30" customHeight="1" x14ac:dyDescent="0.25">
      <c r="A14" s="37">
        <f>+A5+1</f>
        <v>2</v>
      </c>
      <c r="B14" s="37" t="s">
        <v>171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50"/>
      <c r="N14" s="37"/>
      <c r="O14" s="37"/>
    </row>
    <row r="15" spans="1:15" ht="41.25" customHeight="1" x14ac:dyDescent="0.25">
      <c r="A15" s="25">
        <f>+A14+0.1</f>
        <v>2.1</v>
      </c>
      <c r="B15" s="3" t="s">
        <v>247</v>
      </c>
      <c r="C15" s="27">
        <v>239</v>
      </c>
      <c r="D15" s="36">
        <v>167</v>
      </c>
      <c r="E15" s="36">
        <v>211</v>
      </c>
      <c r="F15" s="36">
        <v>118</v>
      </c>
      <c r="G15" s="36">
        <v>137</v>
      </c>
      <c r="H15" s="36">
        <v>116</v>
      </c>
      <c r="I15" s="28">
        <v>253</v>
      </c>
      <c r="J15" s="36">
        <v>212</v>
      </c>
      <c r="K15" s="36">
        <v>211</v>
      </c>
      <c r="L15" s="48">
        <v>318</v>
      </c>
      <c r="M15" s="48">
        <v>0</v>
      </c>
      <c r="N15" s="48">
        <v>0</v>
      </c>
      <c r="O15" s="2">
        <f>SUM(C15:N15)</f>
        <v>1982</v>
      </c>
    </row>
    <row r="16" spans="1:15" ht="38.25" customHeight="1" x14ac:dyDescent="0.25">
      <c r="A16" s="25">
        <f>+A15+0.1</f>
        <v>2.2000000000000002</v>
      </c>
      <c r="B16" s="3" t="s">
        <v>172</v>
      </c>
      <c r="C16" s="27">
        <v>187</v>
      </c>
      <c r="D16" s="36">
        <v>148</v>
      </c>
      <c r="E16" s="36">
        <v>164</v>
      </c>
      <c r="F16" s="36">
        <v>96</v>
      </c>
      <c r="G16" s="36">
        <v>178</v>
      </c>
      <c r="H16" s="36">
        <v>128</v>
      </c>
      <c r="I16" s="28">
        <v>201</v>
      </c>
      <c r="J16" s="36">
        <v>187</v>
      </c>
      <c r="K16" s="36">
        <v>181</v>
      </c>
      <c r="L16" s="48">
        <v>186</v>
      </c>
      <c r="M16" s="48">
        <v>0</v>
      </c>
      <c r="N16" s="48">
        <v>0</v>
      </c>
      <c r="O16" s="2">
        <f>SUM(C16:N16)</f>
        <v>1656</v>
      </c>
    </row>
    <row r="17" spans="1:15" ht="45.75" customHeight="1" x14ac:dyDescent="0.25">
      <c r="A17" s="25">
        <f>+A16+0.1</f>
        <v>2.3000000000000003</v>
      </c>
      <c r="B17" s="3" t="s">
        <v>173</v>
      </c>
      <c r="C17" s="27">
        <v>123</v>
      </c>
      <c r="D17" s="36">
        <v>6</v>
      </c>
      <c r="E17" s="36">
        <v>11</v>
      </c>
      <c r="F17" s="36">
        <v>3</v>
      </c>
      <c r="G17" s="36">
        <v>4</v>
      </c>
      <c r="H17" s="36">
        <v>4</v>
      </c>
      <c r="I17" s="28">
        <v>3</v>
      </c>
      <c r="J17" s="36">
        <v>3</v>
      </c>
      <c r="K17" s="36">
        <v>3</v>
      </c>
      <c r="L17" s="48">
        <v>2</v>
      </c>
      <c r="M17" s="48">
        <v>0</v>
      </c>
      <c r="N17" s="48">
        <v>0</v>
      </c>
      <c r="O17" s="2">
        <f>SUM(C17:N17)</f>
        <v>162</v>
      </c>
    </row>
    <row r="18" spans="1:15" ht="27" customHeight="1" x14ac:dyDescent="0.25">
      <c r="A18" s="25">
        <f>+A17+0.1</f>
        <v>2.4000000000000004</v>
      </c>
      <c r="B18" s="3" t="s">
        <v>152</v>
      </c>
      <c r="C18" s="27">
        <v>0</v>
      </c>
      <c r="D18" s="36">
        <v>0</v>
      </c>
      <c r="E18" s="36">
        <v>18</v>
      </c>
      <c r="F18" s="36">
        <v>0</v>
      </c>
      <c r="G18" s="36">
        <v>5</v>
      </c>
      <c r="H18" s="36">
        <v>15</v>
      </c>
      <c r="I18" s="28">
        <v>9</v>
      </c>
      <c r="J18" s="36">
        <v>6</v>
      </c>
      <c r="K18" s="36">
        <v>9</v>
      </c>
      <c r="L18" s="48">
        <v>9</v>
      </c>
      <c r="M18" s="48">
        <v>0</v>
      </c>
      <c r="N18" s="48">
        <v>0</v>
      </c>
      <c r="O18" s="2">
        <f>SUM(C18:N18)</f>
        <v>71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ignoredErrors>
    <ignoredError sqref="O1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O19"/>
  <sheetViews>
    <sheetView zoomScale="80" zoomScaleNormal="80" zoomScaleSheetLayoutView="80" workbookViewId="0">
      <selection activeCell="E19" sqref="E19"/>
    </sheetView>
  </sheetViews>
  <sheetFormatPr baseColWidth="10" defaultRowHeight="15.75" x14ac:dyDescent="0.25"/>
  <cols>
    <col min="1" max="1" width="8.42578125" style="1" customWidth="1"/>
    <col min="2" max="2" width="37.85546875" style="1" customWidth="1"/>
    <col min="3" max="15" width="14.28515625" style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51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0" customHeight="1" x14ac:dyDescent="0.25">
      <c r="A5" s="37">
        <v>1</v>
      </c>
      <c r="B5" s="37" t="s">
        <v>174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33" customHeight="1" x14ac:dyDescent="0.25">
      <c r="A6" s="24">
        <f t="shared" ref="A6:A11" si="0">+A5+0.1</f>
        <v>1.1000000000000001</v>
      </c>
      <c r="B6" s="18" t="s">
        <v>176</v>
      </c>
      <c r="C6" s="16">
        <v>1284</v>
      </c>
      <c r="D6" s="16">
        <v>497</v>
      </c>
      <c r="E6" s="16">
        <v>413</v>
      </c>
      <c r="F6" s="16">
        <v>379</v>
      </c>
      <c r="G6" s="16">
        <v>401</v>
      </c>
      <c r="H6" s="16">
        <v>721</v>
      </c>
      <c r="I6" s="28">
        <v>610</v>
      </c>
      <c r="J6" s="16">
        <v>524</v>
      </c>
      <c r="K6" s="16">
        <v>823</v>
      </c>
      <c r="L6" s="16">
        <v>625</v>
      </c>
      <c r="M6" s="48">
        <v>327</v>
      </c>
      <c r="N6" s="16">
        <v>156</v>
      </c>
      <c r="O6" s="2">
        <f t="shared" ref="O6:O11" si="1">SUM(C6:N6)</f>
        <v>6760</v>
      </c>
    </row>
    <row r="7" spans="1:15" ht="33" customHeight="1" x14ac:dyDescent="0.25">
      <c r="A7" s="24">
        <f t="shared" si="0"/>
        <v>1.2000000000000002</v>
      </c>
      <c r="B7" s="18" t="s">
        <v>177</v>
      </c>
      <c r="C7" s="16">
        <v>132</v>
      </c>
      <c r="D7" s="16">
        <v>80</v>
      </c>
      <c r="E7" s="16">
        <v>84</v>
      </c>
      <c r="F7" s="16">
        <v>102</v>
      </c>
      <c r="G7" s="16">
        <v>55</v>
      </c>
      <c r="H7" s="16">
        <v>65</v>
      </c>
      <c r="I7" s="28">
        <v>77</v>
      </c>
      <c r="J7" s="16">
        <v>52</v>
      </c>
      <c r="K7" s="16">
        <v>20</v>
      </c>
      <c r="L7" s="16">
        <v>73</v>
      </c>
      <c r="M7" s="48">
        <v>49</v>
      </c>
      <c r="N7" s="16">
        <v>8</v>
      </c>
      <c r="O7" s="2">
        <f t="shared" si="1"/>
        <v>797</v>
      </c>
    </row>
    <row r="8" spans="1:15" ht="33" customHeight="1" x14ac:dyDescent="0.25">
      <c r="A8" s="24">
        <f t="shared" si="0"/>
        <v>1.3000000000000003</v>
      </c>
      <c r="B8" s="18" t="s">
        <v>178</v>
      </c>
      <c r="C8" s="16">
        <v>371</v>
      </c>
      <c r="D8" s="16">
        <v>223</v>
      </c>
      <c r="E8" s="16">
        <v>403</v>
      </c>
      <c r="F8" s="16">
        <v>455</v>
      </c>
      <c r="G8" s="16">
        <v>326</v>
      </c>
      <c r="H8" s="16">
        <v>289</v>
      </c>
      <c r="I8" s="28">
        <v>462</v>
      </c>
      <c r="J8" s="16">
        <v>338</v>
      </c>
      <c r="K8" s="16">
        <v>515</v>
      </c>
      <c r="L8" s="16">
        <v>403</v>
      </c>
      <c r="M8" s="48">
        <v>207</v>
      </c>
      <c r="N8" s="16">
        <v>108</v>
      </c>
      <c r="O8" s="2">
        <f t="shared" si="1"/>
        <v>4100</v>
      </c>
    </row>
    <row r="9" spans="1:15" ht="33" customHeight="1" x14ac:dyDescent="0.25">
      <c r="A9" s="24">
        <f t="shared" si="0"/>
        <v>1.4000000000000004</v>
      </c>
      <c r="B9" s="18" t="s">
        <v>179</v>
      </c>
      <c r="C9" s="16">
        <v>400</v>
      </c>
      <c r="D9" s="16">
        <v>369</v>
      </c>
      <c r="E9" s="16">
        <v>178</v>
      </c>
      <c r="F9" s="16">
        <v>86</v>
      </c>
      <c r="G9" s="16">
        <v>120</v>
      </c>
      <c r="H9" s="16">
        <v>103</v>
      </c>
      <c r="I9" s="28">
        <v>76</v>
      </c>
      <c r="J9" s="16">
        <v>56</v>
      </c>
      <c r="K9" s="16">
        <v>199</v>
      </c>
      <c r="L9" s="16">
        <v>259</v>
      </c>
      <c r="M9" s="48">
        <v>202</v>
      </c>
      <c r="N9" s="16">
        <v>75</v>
      </c>
      <c r="O9" s="2">
        <f t="shared" si="1"/>
        <v>2123</v>
      </c>
    </row>
    <row r="10" spans="1:15" ht="33" customHeight="1" x14ac:dyDescent="0.25">
      <c r="A10" s="24">
        <f t="shared" si="0"/>
        <v>1.5000000000000004</v>
      </c>
      <c r="B10" s="18" t="s">
        <v>180</v>
      </c>
      <c r="C10" s="16">
        <v>255</v>
      </c>
      <c r="D10" s="16">
        <v>411</v>
      </c>
      <c r="E10" s="16">
        <v>357</v>
      </c>
      <c r="F10" s="16">
        <v>327</v>
      </c>
      <c r="G10" s="16">
        <v>427</v>
      </c>
      <c r="H10" s="16">
        <v>429</v>
      </c>
      <c r="I10" s="28">
        <v>388</v>
      </c>
      <c r="J10" s="16">
        <v>421</v>
      </c>
      <c r="K10" s="16">
        <v>478</v>
      </c>
      <c r="L10" s="16">
        <v>469</v>
      </c>
      <c r="M10" s="48">
        <v>289</v>
      </c>
      <c r="N10" s="48">
        <v>248</v>
      </c>
      <c r="O10" s="2">
        <f t="shared" si="1"/>
        <v>4499</v>
      </c>
    </row>
    <row r="11" spans="1:15" ht="33" customHeight="1" x14ac:dyDescent="0.25">
      <c r="A11" s="24">
        <f t="shared" si="0"/>
        <v>1.6000000000000005</v>
      </c>
      <c r="B11" s="18" t="s">
        <v>181</v>
      </c>
      <c r="C11" s="16">
        <v>3279</v>
      </c>
      <c r="D11" s="16">
        <v>4153</v>
      </c>
      <c r="E11" s="16">
        <v>4777</v>
      </c>
      <c r="F11" s="16">
        <v>4325</v>
      </c>
      <c r="G11" s="16">
        <v>6477</v>
      </c>
      <c r="H11" s="16">
        <v>5407</v>
      </c>
      <c r="I11" s="28">
        <v>5980</v>
      </c>
      <c r="J11" s="16">
        <v>4105</v>
      </c>
      <c r="K11" s="16">
        <v>4578</v>
      </c>
      <c r="L11" s="16">
        <v>4970</v>
      </c>
      <c r="M11" s="16">
        <v>4697</v>
      </c>
      <c r="N11" s="16">
        <v>2712</v>
      </c>
      <c r="O11" s="2">
        <f t="shared" si="1"/>
        <v>55460</v>
      </c>
    </row>
    <row r="12" spans="1:15" ht="30" customHeight="1" x14ac:dyDescent="0.25">
      <c r="A12" s="37">
        <f>+A5+1</f>
        <v>2</v>
      </c>
      <c r="B12" s="37" t="s">
        <v>182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35.25" customHeight="1" x14ac:dyDescent="0.25">
      <c r="A13" s="25">
        <f>+A12+0.1</f>
        <v>2.1</v>
      </c>
      <c r="B13" s="3" t="s">
        <v>183</v>
      </c>
      <c r="C13" s="16">
        <v>146</v>
      </c>
      <c r="D13" s="16">
        <v>256</v>
      </c>
      <c r="E13" s="16">
        <v>356</v>
      </c>
      <c r="F13" s="16">
        <v>122</v>
      </c>
      <c r="G13" s="16">
        <v>176</v>
      </c>
      <c r="H13" s="16">
        <v>70</v>
      </c>
      <c r="I13" s="28">
        <v>56</v>
      </c>
      <c r="J13" s="16">
        <v>59</v>
      </c>
      <c r="K13" s="16">
        <v>184</v>
      </c>
      <c r="L13" s="16">
        <v>476</v>
      </c>
      <c r="M13" s="16">
        <v>201</v>
      </c>
      <c r="N13" s="16">
        <v>130</v>
      </c>
      <c r="O13" s="2">
        <f>SUM(C13:N13)</f>
        <v>2232</v>
      </c>
    </row>
    <row r="14" spans="1:15" ht="35.25" customHeight="1" x14ac:dyDescent="0.25">
      <c r="A14" s="25">
        <f>+A13+0.1</f>
        <v>2.2000000000000002</v>
      </c>
      <c r="B14" s="3" t="s">
        <v>184</v>
      </c>
      <c r="C14" s="16">
        <v>1012</v>
      </c>
      <c r="D14" s="16">
        <v>1101</v>
      </c>
      <c r="E14" s="28">
        <v>848</v>
      </c>
      <c r="F14" s="16">
        <v>685</v>
      </c>
      <c r="G14" s="16">
        <v>1077</v>
      </c>
      <c r="H14" s="16">
        <v>927</v>
      </c>
      <c r="I14" s="28">
        <v>1118</v>
      </c>
      <c r="J14" s="16">
        <v>686</v>
      </c>
      <c r="K14" s="16">
        <v>411</v>
      </c>
      <c r="L14" s="16">
        <v>499</v>
      </c>
      <c r="M14" s="16">
        <v>362</v>
      </c>
      <c r="N14" s="16">
        <v>238</v>
      </c>
      <c r="O14" s="2">
        <f>SUM(C14:N14)</f>
        <v>8964</v>
      </c>
    </row>
    <row r="15" spans="1:15" ht="35.25" customHeight="1" x14ac:dyDescent="0.25">
      <c r="A15" s="25">
        <f>+A14+0.1</f>
        <v>2.3000000000000003</v>
      </c>
      <c r="B15" s="3" t="s">
        <v>185</v>
      </c>
      <c r="C15" s="16">
        <v>0</v>
      </c>
      <c r="D15" s="16">
        <v>71</v>
      </c>
      <c r="E15" s="28">
        <v>71</v>
      </c>
      <c r="F15" s="16">
        <v>64</v>
      </c>
      <c r="G15" s="16">
        <v>120</v>
      </c>
      <c r="H15" s="16">
        <v>70</v>
      </c>
      <c r="I15" s="28">
        <v>141</v>
      </c>
      <c r="J15" s="16">
        <v>112</v>
      </c>
      <c r="K15" s="16">
        <v>108</v>
      </c>
      <c r="L15" s="16">
        <v>191</v>
      </c>
      <c r="M15" s="16">
        <v>137</v>
      </c>
      <c r="N15" s="16">
        <v>51</v>
      </c>
      <c r="O15" s="2">
        <f>SUM(C15:N15)</f>
        <v>1136</v>
      </c>
    </row>
    <row r="16" spans="1:15" ht="35.25" customHeight="1" x14ac:dyDescent="0.25">
      <c r="A16" s="25">
        <f>+A15+0.1</f>
        <v>2.4000000000000004</v>
      </c>
      <c r="B16" s="3" t="s">
        <v>186</v>
      </c>
      <c r="C16" s="16">
        <v>65</v>
      </c>
      <c r="D16" s="16">
        <v>128</v>
      </c>
      <c r="E16" s="28">
        <v>86</v>
      </c>
      <c r="F16" s="16">
        <v>44</v>
      </c>
      <c r="G16" s="16">
        <v>49</v>
      </c>
      <c r="H16" s="16">
        <v>117</v>
      </c>
      <c r="I16" s="28">
        <v>199</v>
      </c>
      <c r="J16" s="16">
        <v>128</v>
      </c>
      <c r="K16" s="16">
        <v>77</v>
      </c>
      <c r="L16" s="16">
        <v>118</v>
      </c>
      <c r="M16" s="16">
        <v>73</v>
      </c>
      <c r="N16" s="16">
        <v>72</v>
      </c>
      <c r="O16" s="2">
        <f>SUM(C16:N16)</f>
        <v>1156</v>
      </c>
    </row>
    <row r="17" spans="1:15" ht="35.25" customHeight="1" x14ac:dyDescent="0.25">
      <c r="A17" s="25">
        <f>+A16+0.1</f>
        <v>2.5000000000000004</v>
      </c>
      <c r="B17" s="3" t="s">
        <v>187</v>
      </c>
      <c r="C17" s="16">
        <v>0</v>
      </c>
      <c r="D17" s="16">
        <v>16</v>
      </c>
      <c r="E17" s="28">
        <v>30</v>
      </c>
      <c r="F17" s="16">
        <v>20</v>
      </c>
      <c r="G17" s="16">
        <v>43</v>
      </c>
      <c r="H17" s="16">
        <v>18</v>
      </c>
      <c r="I17" s="28">
        <v>44</v>
      </c>
      <c r="J17" s="16">
        <v>23</v>
      </c>
      <c r="K17" s="16">
        <v>52</v>
      </c>
      <c r="L17" s="16">
        <v>77</v>
      </c>
      <c r="M17" s="16">
        <v>87</v>
      </c>
      <c r="N17" s="16">
        <v>75</v>
      </c>
      <c r="O17" s="2">
        <f>SUM(C17:N17)</f>
        <v>485</v>
      </c>
    </row>
    <row r="19" spans="1:15" x14ac:dyDescent="0.25">
      <c r="A19" s="1" t="s">
        <v>175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7"/>
  <sheetViews>
    <sheetView zoomScaleNormal="100" zoomScaleSheetLayoutView="70" workbookViewId="0">
      <selection activeCell="N5" sqref="N5:N7"/>
    </sheetView>
  </sheetViews>
  <sheetFormatPr baseColWidth="10" defaultRowHeight="15.75" x14ac:dyDescent="0.25"/>
  <cols>
    <col min="1" max="1" width="8.42578125" style="1" customWidth="1"/>
    <col min="2" max="2" width="44.140625" style="1" customWidth="1"/>
    <col min="3" max="3" width="12.42578125" style="1" bestFit="1" customWidth="1"/>
    <col min="4" max="4" width="14.42578125" style="1" bestFit="1" customWidth="1"/>
    <col min="5" max="5" width="12.85546875" style="1" bestFit="1" customWidth="1"/>
    <col min="6" max="6" width="11.5703125" style="1" bestFit="1" customWidth="1"/>
    <col min="7" max="7" width="12" style="1" bestFit="1" customWidth="1"/>
    <col min="8" max="8" width="11.5703125" style="1" bestFit="1" customWidth="1"/>
    <col min="9" max="9" width="11" style="1" bestFit="1" customWidth="1"/>
    <col min="10" max="10" width="13.42578125" style="1" bestFit="1" customWidth="1"/>
    <col min="11" max="11" width="18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1.7109375" style="1" bestFit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44.25" customHeight="1" x14ac:dyDescent="0.25">
      <c r="A5" s="24">
        <v>1</v>
      </c>
      <c r="B5" s="18" t="s">
        <v>188</v>
      </c>
      <c r="C5" s="36">
        <v>0</v>
      </c>
      <c r="D5" s="36">
        <v>6</v>
      </c>
      <c r="E5" s="36">
        <v>0</v>
      </c>
      <c r="F5" s="36">
        <v>11</v>
      </c>
      <c r="G5" s="36">
        <v>17</v>
      </c>
      <c r="H5" s="36">
        <v>11</v>
      </c>
      <c r="I5" s="36">
        <v>14</v>
      </c>
      <c r="J5" s="36">
        <v>15</v>
      </c>
      <c r="K5" s="36">
        <v>13</v>
      </c>
      <c r="L5" s="36">
        <v>10</v>
      </c>
      <c r="M5" s="48">
        <v>13</v>
      </c>
      <c r="N5" s="58">
        <v>7</v>
      </c>
      <c r="O5" s="2">
        <f>SUM(C5:N5)</f>
        <v>117</v>
      </c>
    </row>
    <row r="6" spans="1:15" ht="46.5" customHeight="1" x14ac:dyDescent="0.25">
      <c r="A6" s="25">
        <f>+A5+1</f>
        <v>2</v>
      </c>
      <c r="B6" s="18" t="s">
        <v>189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48">
        <v>0</v>
      </c>
      <c r="N6" s="58">
        <v>0</v>
      </c>
      <c r="O6" s="2">
        <f>SUM(C6:N6)</f>
        <v>0</v>
      </c>
    </row>
    <row r="7" spans="1:15" ht="57.75" customHeight="1" x14ac:dyDescent="0.25">
      <c r="A7" s="25">
        <f>+A6+1</f>
        <v>3</v>
      </c>
      <c r="B7" s="18" t="s">
        <v>190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48">
        <v>0</v>
      </c>
      <c r="N7" s="58">
        <v>0</v>
      </c>
      <c r="O7" s="2">
        <f>SUM(C7:N7)</f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86"/>
  <sheetViews>
    <sheetView zoomScale="80" zoomScaleNormal="80" zoomScaleSheetLayoutView="70" workbookViewId="0">
      <selection activeCell="S119" sqref="S119"/>
    </sheetView>
  </sheetViews>
  <sheetFormatPr baseColWidth="10" defaultRowHeight="15.75" x14ac:dyDescent="0.25"/>
  <cols>
    <col min="1" max="1" width="8.42578125" style="1" customWidth="1"/>
    <col min="2" max="2" width="34.28515625" style="1" customWidth="1"/>
    <col min="3" max="3" width="13.5703125" style="1" bestFit="1" customWidth="1"/>
    <col min="4" max="4" width="14.42578125" style="1" bestFit="1" customWidth="1"/>
    <col min="5" max="5" width="14.7109375" style="1" customWidth="1"/>
    <col min="6" max="6" width="14.140625" style="1" customWidth="1"/>
    <col min="7" max="8" width="15.85546875" style="1" customWidth="1"/>
    <col min="9" max="9" width="14.7109375" style="1" customWidth="1"/>
    <col min="10" max="10" width="13.42578125" style="1" customWidth="1"/>
    <col min="11" max="11" width="17.42578125" style="1" bestFit="1" customWidth="1"/>
    <col min="12" max="12" width="14.42578125" style="1" bestFit="1" customWidth="1"/>
    <col min="13" max="13" width="17.28515625" style="1" bestFit="1" customWidth="1"/>
    <col min="14" max="14" width="16.42578125" style="1" bestFit="1" customWidth="1"/>
    <col min="15" max="15" width="14.7109375" style="1" bestFit="1" customWidth="1"/>
    <col min="16" max="16384" width="11.42578125" style="1"/>
  </cols>
  <sheetData>
    <row r="1" spans="1:15" ht="32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9.75" customHeight="1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40.5" customHeight="1" x14ac:dyDescent="0.25">
      <c r="A4" s="37" t="s">
        <v>0</v>
      </c>
      <c r="B4" s="37" t="s">
        <v>244</v>
      </c>
      <c r="C4" s="37" t="str">
        <f>"Enero 19"</f>
        <v>Enero 19</v>
      </c>
      <c r="D4" s="37" t="str">
        <f>"Febrero 19"</f>
        <v>Febrero 19</v>
      </c>
      <c r="E4" s="37" t="str">
        <f>"Marzo 19"</f>
        <v>Marzo 19</v>
      </c>
      <c r="F4" s="37" t="str">
        <f>"Abril 19"</f>
        <v>Abril 19</v>
      </c>
      <c r="G4" s="37" t="str">
        <f>"Mayo 19"</f>
        <v>Mayo 19</v>
      </c>
      <c r="H4" s="37" t="str">
        <f>"Junio 19"</f>
        <v>Junio 19</v>
      </c>
      <c r="I4" s="37" t="str">
        <f>"Julio 19"</f>
        <v>Julio 19</v>
      </c>
      <c r="J4" s="37" t="str">
        <f>"Agosto 19"</f>
        <v>Agosto 19</v>
      </c>
      <c r="K4" s="37" t="str">
        <f>"Septiembre 19"</f>
        <v>Septiembre 19</v>
      </c>
      <c r="L4" s="37" t="str">
        <f>"Octubre 19"</f>
        <v>Octubre 19</v>
      </c>
      <c r="M4" s="37" t="str">
        <f>"Noviembre 19"</f>
        <v>Noviembre 19</v>
      </c>
      <c r="N4" s="37" t="str">
        <f>"Diciembre 19"</f>
        <v>Diciembre 19</v>
      </c>
      <c r="O4" s="37" t="s">
        <v>258</v>
      </c>
    </row>
    <row r="5" spans="1:15" ht="30" customHeight="1" x14ac:dyDescent="0.25">
      <c r="A5" s="37">
        <v>1</v>
      </c>
      <c r="B5" s="37" t="s">
        <v>191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33" customHeight="1" x14ac:dyDescent="0.25">
      <c r="A6" s="24">
        <f>+A5+0.1</f>
        <v>1.1000000000000001</v>
      </c>
      <c r="B6" s="18" t="s">
        <v>193</v>
      </c>
      <c r="C6" s="36">
        <f>10</f>
        <v>10</v>
      </c>
      <c r="D6" s="36">
        <f>2+1+49</f>
        <v>52</v>
      </c>
      <c r="E6" s="36">
        <f>2+1+37</f>
        <v>40</v>
      </c>
      <c r="F6" s="36">
        <f>1+2+14</f>
        <v>17</v>
      </c>
      <c r="G6" s="36">
        <f>1+30</f>
        <v>31</v>
      </c>
      <c r="H6" s="36">
        <f>1+21+1</f>
        <v>23</v>
      </c>
      <c r="I6" s="36">
        <v>40</v>
      </c>
      <c r="J6" s="36">
        <f>22</f>
        <v>22</v>
      </c>
      <c r="K6" s="36">
        <f>21+1</f>
        <v>22</v>
      </c>
      <c r="L6" s="48">
        <f>26</f>
        <v>26</v>
      </c>
      <c r="M6" s="48">
        <f>1+26+1</f>
        <v>28</v>
      </c>
      <c r="N6" s="58">
        <v>21</v>
      </c>
      <c r="O6" s="2">
        <f t="shared" ref="O6:O12" si="0">SUM(C6:N6)</f>
        <v>332</v>
      </c>
    </row>
    <row r="7" spans="1:15" ht="33" customHeight="1" x14ac:dyDescent="0.25">
      <c r="A7" s="24">
        <f t="shared" ref="A7:A12" si="1">+A6+0.1</f>
        <v>1.2000000000000002</v>
      </c>
      <c r="B7" s="18" t="s">
        <v>194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48">
        <v>0</v>
      </c>
      <c r="M7" s="48">
        <v>0</v>
      </c>
      <c r="N7" s="58">
        <v>0</v>
      </c>
      <c r="O7" s="2">
        <f t="shared" si="0"/>
        <v>0</v>
      </c>
    </row>
    <row r="8" spans="1:15" ht="33" customHeight="1" x14ac:dyDescent="0.25">
      <c r="A8" s="24">
        <f t="shared" si="1"/>
        <v>1.3000000000000003</v>
      </c>
      <c r="B8" s="18" t="s">
        <v>195</v>
      </c>
      <c r="C8" s="36">
        <f>2</f>
        <v>2</v>
      </c>
      <c r="D8" s="36">
        <f>2</f>
        <v>2</v>
      </c>
      <c r="E8" s="36">
        <f>4</f>
        <v>4</v>
      </c>
      <c r="F8" s="36">
        <f>2</f>
        <v>2</v>
      </c>
      <c r="G8" s="36">
        <v>0</v>
      </c>
      <c r="H8" s="36">
        <f>1</f>
        <v>1</v>
      </c>
      <c r="I8" s="36">
        <v>1</v>
      </c>
      <c r="J8" s="36">
        <f>1</f>
        <v>1</v>
      </c>
      <c r="K8" s="36">
        <f>2</f>
        <v>2</v>
      </c>
      <c r="L8" s="48">
        <f>3</f>
        <v>3</v>
      </c>
      <c r="M8" s="48">
        <f>2</f>
        <v>2</v>
      </c>
      <c r="N8" s="58">
        <v>2</v>
      </c>
      <c r="O8" s="2">
        <f t="shared" si="0"/>
        <v>22</v>
      </c>
    </row>
    <row r="9" spans="1:15" ht="33" customHeight="1" x14ac:dyDescent="0.25">
      <c r="A9" s="24">
        <f t="shared" si="1"/>
        <v>1.4000000000000004</v>
      </c>
      <c r="B9" s="18" t="s">
        <v>196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48">
        <v>0</v>
      </c>
      <c r="M9" s="48">
        <v>0</v>
      </c>
      <c r="N9" s="58">
        <v>0</v>
      </c>
      <c r="O9" s="2">
        <f t="shared" si="0"/>
        <v>0</v>
      </c>
    </row>
    <row r="10" spans="1:15" ht="33" customHeight="1" x14ac:dyDescent="0.25">
      <c r="A10" s="24">
        <f t="shared" si="1"/>
        <v>1.5000000000000004</v>
      </c>
      <c r="B10" s="18" t="s">
        <v>197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48">
        <v>0</v>
      </c>
      <c r="M10" s="48">
        <v>0</v>
      </c>
      <c r="N10" s="58">
        <v>0</v>
      </c>
      <c r="O10" s="2">
        <f t="shared" si="0"/>
        <v>0</v>
      </c>
    </row>
    <row r="11" spans="1:15" ht="33" customHeight="1" x14ac:dyDescent="0.25">
      <c r="A11" s="24">
        <f t="shared" si="1"/>
        <v>1.6000000000000005</v>
      </c>
      <c r="B11" s="18" t="s">
        <v>198</v>
      </c>
      <c r="C11" s="36">
        <f>6+173+2+7</f>
        <v>188</v>
      </c>
      <c r="D11" s="36">
        <f>11+198+4+3</f>
        <v>216</v>
      </c>
      <c r="E11" s="36">
        <f>9+7+198+1</f>
        <v>215</v>
      </c>
      <c r="F11" s="36">
        <f>4+343+4</f>
        <v>351</v>
      </c>
      <c r="G11" s="36">
        <f>8+518+3+3</f>
        <v>532</v>
      </c>
      <c r="H11" s="36">
        <f>7+4+427</f>
        <v>438</v>
      </c>
      <c r="I11" s="36">
        <v>375</v>
      </c>
      <c r="J11" s="36">
        <f>5+5+512+4</f>
        <v>526</v>
      </c>
      <c r="K11" s="36">
        <f>4+371+6+1</f>
        <v>382</v>
      </c>
      <c r="L11" s="48">
        <f>3+13+2+665</f>
        <v>683</v>
      </c>
      <c r="M11" s="48">
        <f>1+400+5+2</f>
        <v>408</v>
      </c>
      <c r="N11" s="58">
        <v>354</v>
      </c>
      <c r="O11" s="2">
        <f t="shared" si="0"/>
        <v>4668</v>
      </c>
    </row>
    <row r="12" spans="1:15" ht="33" customHeight="1" x14ac:dyDescent="0.25">
      <c r="A12" s="24">
        <f t="shared" si="1"/>
        <v>1.7000000000000006</v>
      </c>
      <c r="B12" s="18" t="s">
        <v>192</v>
      </c>
      <c r="C12" s="36">
        <f>5</f>
        <v>5</v>
      </c>
      <c r="D12" s="36">
        <f>6</f>
        <v>6</v>
      </c>
      <c r="E12" s="36">
        <f>1</f>
        <v>1</v>
      </c>
      <c r="F12" s="36">
        <f>17</f>
        <v>17</v>
      </c>
      <c r="G12" s="36">
        <f>9</f>
        <v>9</v>
      </c>
      <c r="H12" s="36">
        <v>7</v>
      </c>
      <c r="I12" s="36">
        <v>6</v>
      </c>
      <c r="J12" s="36">
        <v>20</v>
      </c>
      <c r="K12" s="27">
        <v>9</v>
      </c>
      <c r="L12" s="48">
        <v>13</v>
      </c>
      <c r="M12" s="48">
        <v>10</v>
      </c>
      <c r="N12" s="56">
        <v>15</v>
      </c>
      <c r="O12" s="2">
        <f t="shared" si="0"/>
        <v>118</v>
      </c>
    </row>
    <row r="13" spans="1:15" ht="30" customHeight="1" x14ac:dyDescent="0.25">
      <c r="A13" s="37">
        <f>+A5+1</f>
        <v>2</v>
      </c>
      <c r="B13" s="37" t="s">
        <v>199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60"/>
      <c r="O13" s="37"/>
    </row>
    <row r="14" spans="1:15" ht="33" customHeight="1" x14ac:dyDescent="0.25">
      <c r="A14" s="24">
        <f>+A13+0.1</f>
        <v>2.1</v>
      </c>
      <c r="B14" s="18" t="s">
        <v>193</v>
      </c>
      <c r="C14" s="36">
        <f>2+5+1</f>
        <v>8</v>
      </c>
      <c r="D14" s="36">
        <f>1+4</f>
        <v>5</v>
      </c>
      <c r="E14" s="36">
        <f>4+4</f>
        <v>8</v>
      </c>
      <c r="F14" s="36">
        <f>5+7</f>
        <v>12</v>
      </c>
      <c r="G14" s="36">
        <f>7+4</f>
        <v>11</v>
      </c>
      <c r="H14" s="36">
        <f>5+4</f>
        <v>9</v>
      </c>
      <c r="I14" s="36">
        <v>12</v>
      </c>
      <c r="J14" s="36">
        <f>9+8</f>
        <v>17</v>
      </c>
      <c r="K14" s="36">
        <f>8+9</f>
        <v>17</v>
      </c>
      <c r="L14" s="48">
        <f>9+15</f>
        <v>24</v>
      </c>
      <c r="M14" s="48">
        <f>9+2</f>
        <v>11</v>
      </c>
      <c r="N14" s="58">
        <v>6</v>
      </c>
      <c r="O14" s="2">
        <f t="shared" ref="O14:O20" si="2">SUM(C14:N14)</f>
        <v>140</v>
      </c>
    </row>
    <row r="15" spans="1:15" ht="33" customHeight="1" x14ac:dyDescent="0.25">
      <c r="A15" s="24">
        <f t="shared" ref="A15:A20" si="3">+A14+0.1</f>
        <v>2.2000000000000002</v>
      </c>
      <c r="B15" s="18" t="s">
        <v>194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48">
        <v>0</v>
      </c>
      <c r="M15" s="48">
        <v>0</v>
      </c>
      <c r="N15" s="58">
        <v>0</v>
      </c>
      <c r="O15" s="2">
        <f t="shared" si="2"/>
        <v>0</v>
      </c>
    </row>
    <row r="16" spans="1:15" ht="33" customHeight="1" x14ac:dyDescent="0.25">
      <c r="A16" s="24">
        <f t="shared" si="3"/>
        <v>2.3000000000000003</v>
      </c>
      <c r="B16" s="18" t="s">
        <v>195</v>
      </c>
      <c r="C16" s="36">
        <f>1</f>
        <v>1</v>
      </c>
      <c r="D16" s="36">
        <f>1</f>
        <v>1</v>
      </c>
      <c r="E16" s="36">
        <f>1</f>
        <v>1</v>
      </c>
      <c r="F16" s="36">
        <f>2</f>
        <v>2</v>
      </c>
      <c r="G16" s="36">
        <v>0</v>
      </c>
      <c r="H16" s="36">
        <f>1</f>
        <v>1</v>
      </c>
      <c r="I16" s="36">
        <v>0</v>
      </c>
      <c r="J16" s="36">
        <v>0</v>
      </c>
      <c r="K16" s="36">
        <v>0</v>
      </c>
      <c r="L16" s="48">
        <f>1</f>
        <v>1</v>
      </c>
      <c r="M16" s="48">
        <v>0</v>
      </c>
      <c r="N16" s="58">
        <v>0</v>
      </c>
      <c r="O16" s="2">
        <f t="shared" si="2"/>
        <v>7</v>
      </c>
    </row>
    <row r="17" spans="1:15" ht="33" customHeight="1" x14ac:dyDescent="0.25">
      <c r="A17" s="24">
        <f t="shared" si="3"/>
        <v>2.4000000000000004</v>
      </c>
      <c r="B17" s="18" t="s">
        <v>196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48">
        <v>0</v>
      </c>
      <c r="M17" s="48">
        <v>0</v>
      </c>
      <c r="N17" s="58">
        <v>0</v>
      </c>
      <c r="O17" s="2">
        <f t="shared" si="2"/>
        <v>0</v>
      </c>
    </row>
    <row r="18" spans="1:15" ht="33" customHeight="1" x14ac:dyDescent="0.25">
      <c r="A18" s="24">
        <f t="shared" si="3"/>
        <v>2.5000000000000004</v>
      </c>
      <c r="B18" s="18" t="s">
        <v>197</v>
      </c>
      <c r="C18" s="36">
        <v>0</v>
      </c>
      <c r="D18" s="36">
        <v>0</v>
      </c>
      <c r="E18" s="36">
        <f>2</f>
        <v>2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48">
        <v>0</v>
      </c>
      <c r="M18" s="48">
        <v>0</v>
      </c>
      <c r="N18" s="58">
        <v>1</v>
      </c>
      <c r="O18" s="2">
        <f t="shared" si="2"/>
        <v>3</v>
      </c>
    </row>
    <row r="19" spans="1:15" ht="33" customHeight="1" x14ac:dyDescent="0.25">
      <c r="A19" s="24">
        <f t="shared" si="3"/>
        <v>2.6000000000000005</v>
      </c>
      <c r="B19" s="18" t="s">
        <v>198</v>
      </c>
      <c r="C19" s="36">
        <f>9+3</f>
        <v>12</v>
      </c>
      <c r="D19" s="36">
        <f>8+4</f>
        <v>12</v>
      </c>
      <c r="E19" s="36">
        <f>1+1+9</f>
        <v>11</v>
      </c>
      <c r="F19" s="36">
        <f>2+8+1</f>
        <v>11</v>
      </c>
      <c r="G19" s="36">
        <f>7+13+2</f>
        <v>22</v>
      </c>
      <c r="H19" s="36">
        <f>15+1+12</f>
        <v>28</v>
      </c>
      <c r="I19" s="36">
        <v>18</v>
      </c>
      <c r="J19" s="36">
        <f>2+11+9</f>
        <v>22</v>
      </c>
      <c r="K19" s="36">
        <f>2+6+10</f>
        <v>18</v>
      </c>
      <c r="L19" s="48">
        <f>3+4+18</f>
        <v>25</v>
      </c>
      <c r="M19" s="48">
        <f>1+12+2</f>
        <v>15</v>
      </c>
      <c r="N19" s="58">
        <v>20</v>
      </c>
      <c r="O19" s="2">
        <f t="shared" si="2"/>
        <v>214</v>
      </c>
    </row>
    <row r="20" spans="1:15" ht="33" customHeight="1" x14ac:dyDescent="0.25">
      <c r="A20" s="24">
        <f t="shared" si="3"/>
        <v>2.7000000000000006</v>
      </c>
      <c r="B20" s="18" t="s">
        <v>192</v>
      </c>
      <c r="C20" s="36">
        <v>0</v>
      </c>
      <c r="D20" s="36">
        <f>1</f>
        <v>1</v>
      </c>
      <c r="E20" s="36">
        <f>1</f>
        <v>1</v>
      </c>
      <c r="F20" s="36">
        <f>1</f>
        <v>1</v>
      </c>
      <c r="G20" s="36">
        <f>3</f>
        <v>3</v>
      </c>
      <c r="H20" s="36">
        <v>2</v>
      </c>
      <c r="I20" s="36">
        <v>1</v>
      </c>
      <c r="J20" s="36">
        <v>2</v>
      </c>
      <c r="K20" s="27">
        <v>6</v>
      </c>
      <c r="L20" s="48">
        <v>3</v>
      </c>
      <c r="M20" s="48">
        <v>4</v>
      </c>
      <c r="N20" s="56">
        <v>8</v>
      </c>
      <c r="O20" s="2">
        <f t="shared" si="2"/>
        <v>32</v>
      </c>
    </row>
    <row r="21" spans="1:15" ht="30" customHeight="1" x14ac:dyDescent="0.25">
      <c r="A21" s="37">
        <f>+A13+1</f>
        <v>3</v>
      </c>
      <c r="B21" s="37" t="s">
        <v>200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60"/>
      <c r="O21" s="37"/>
    </row>
    <row r="22" spans="1:15" ht="33" customHeight="1" x14ac:dyDescent="0.25">
      <c r="A22" s="24">
        <f>+A21+0.1</f>
        <v>3.1</v>
      </c>
      <c r="B22" s="18" t="s">
        <v>193</v>
      </c>
      <c r="C22" s="36">
        <f>3+1</f>
        <v>4</v>
      </c>
      <c r="D22" s="36">
        <f>1</f>
        <v>1</v>
      </c>
      <c r="E22" s="36">
        <f>2+2</f>
        <v>4</v>
      </c>
      <c r="F22" s="36">
        <f>1+2</f>
        <v>3</v>
      </c>
      <c r="G22" s="36">
        <f>2+3</f>
        <v>5</v>
      </c>
      <c r="H22" s="36">
        <f>3+3</f>
        <v>6</v>
      </c>
      <c r="I22" s="36">
        <v>5</v>
      </c>
      <c r="J22" s="36">
        <f>2+4</f>
        <v>6</v>
      </c>
      <c r="K22" s="36">
        <f>2+3</f>
        <v>5</v>
      </c>
      <c r="L22" s="48">
        <f>3+4</f>
        <v>7</v>
      </c>
      <c r="M22" s="48">
        <f>4+1</f>
        <v>5</v>
      </c>
      <c r="N22" s="58">
        <v>4</v>
      </c>
      <c r="O22" s="2">
        <f t="shared" ref="O22:O28" si="4">SUM(C22:N22)</f>
        <v>55</v>
      </c>
    </row>
    <row r="23" spans="1:15" ht="33" customHeight="1" x14ac:dyDescent="0.25">
      <c r="A23" s="24">
        <f t="shared" ref="A23:A28" si="5">+A22+0.1</f>
        <v>3.2</v>
      </c>
      <c r="B23" s="18" t="s">
        <v>194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48">
        <v>0</v>
      </c>
      <c r="M23" s="48">
        <v>0</v>
      </c>
      <c r="N23" s="58">
        <v>0</v>
      </c>
      <c r="O23" s="2">
        <f t="shared" si="4"/>
        <v>0</v>
      </c>
    </row>
    <row r="24" spans="1:15" ht="33" customHeight="1" x14ac:dyDescent="0.25">
      <c r="A24" s="24">
        <f t="shared" si="5"/>
        <v>3.3000000000000003</v>
      </c>
      <c r="B24" s="18" t="s">
        <v>195</v>
      </c>
      <c r="C24" s="36">
        <f>1</f>
        <v>1</v>
      </c>
      <c r="D24" s="36">
        <f>1</f>
        <v>1</v>
      </c>
      <c r="E24" s="36">
        <f>1</f>
        <v>1</v>
      </c>
      <c r="F24" s="36">
        <f>2</f>
        <v>2</v>
      </c>
      <c r="G24" s="36">
        <v>0</v>
      </c>
      <c r="H24" s="36">
        <f>1</f>
        <v>1</v>
      </c>
      <c r="I24" s="36">
        <v>0</v>
      </c>
      <c r="J24" s="36">
        <v>0</v>
      </c>
      <c r="K24" s="36">
        <v>0</v>
      </c>
      <c r="L24" s="48">
        <f>1</f>
        <v>1</v>
      </c>
      <c r="M24" s="48">
        <v>0</v>
      </c>
      <c r="N24" s="58">
        <v>0</v>
      </c>
      <c r="O24" s="2">
        <f t="shared" si="4"/>
        <v>7</v>
      </c>
    </row>
    <row r="25" spans="1:15" ht="33" customHeight="1" x14ac:dyDescent="0.25">
      <c r="A25" s="24">
        <f t="shared" si="5"/>
        <v>3.4000000000000004</v>
      </c>
      <c r="B25" s="18" t="s">
        <v>196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48">
        <v>0</v>
      </c>
      <c r="M25" s="48">
        <v>0</v>
      </c>
      <c r="N25" s="58">
        <v>0</v>
      </c>
      <c r="O25" s="2">
        <f t="shared" si="4"/>
        <v>0</v>
      </c>
    </row>
    <row r="26" spans="1:15" ht="33" customHeight="1" x14ac:dyDescent="0.25">
      <c r="A26" s="24">
        <f t="shared" si="5"/>
        <v>3.5000000000000004</v>
      </c>
      <c r="B26" s="18" t="s">
        <v>197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48">
        <v>0</v>
      </c>
      <c r="M26" s="48">
        <v>0</v>
      </c>
      <c r="N26" s="58">
        <v>0</v>
      </c>
      <c r="O26" s="2">
        <f t="shared" si="4"/>
        <v>0</v>
      </c>
    </row>
    <row r="27" spans="1:15" ht="33" customHeight="1" x14ac:dyDescent="0.25">
      <c r="A27" s="24">
        <f t="shared" si="5"/>
        <v>3.6000000000000005</v>
      </c>
      <c r="B27" s="18" t="s">
        <v>198</v>
      </c>
      <c r="C27" s="36">
        <f>1+3</f>
        <v>4</v>
      </c>
      <c r="D27" s="36">
        <f>5+4</f>
        <v>9</v>
      </c>
      <c r="E27" s="36">
        <f>1+2</f>
        <v>3</v>
      </c>
      <c r="F27" s="36">
        <f>1+6+1</f>
        <v>8</v>
      </c>
      <c r="G27" s="36">
        <f>4+4+2</f>
        <v>10</v>
      </c>
      <c r="H27" s="36">
        <f>11+1+5</f>
        <v>17</v>
      </c>
      <c r="I27" s="36">
        <v>10</v>
      </c>
      <c r="J27" s="36">
        <f>2+8+4</f>
        <v>14</v>
      </c>
      <c r="K27" s="36">
        <f>2+1+7</f>
        <v>10</v>
      </c>
      <c r="L27" s="48">
        <f>3+3+9</f>
        <v>15</v>
      </c>
      <c r="M27" s="48">
        <f>1+3+1</f>
        <v>5</v>
      </c>
      <c r="N27" s="58">
        <v>6</v>
      </c>
      <c r="O27" s="2">
        <f t="shared" si="4"/>
        <v>111</v>
      </c>
    </row>
    <row r="28" spans="1:15" ht="33" customHeight="1" x14ac:dyDescent="0.25">
      <c r="A28" s="24">
        <f t="shared" si="5"/>
        <v>3.7000000000000006</v>
      </c>
      <c r="B28" s="18" t="s">
        <v>192</v>
      </c>
      <c r="C28" s="36">
        <f>1</f>
        <v>1</v>
      </c>
      <c r="D28" s="36">
        <f>1</f>
        <v>1</v>
      </c>
      <c r="E28" s="36">
        <f>1</f>
        <v>1</v>
      </c>
      <c r="F28" s="36">
        <v>0</v>
      </c>
      <c r="G28" s="36">
        <f>3</f>
        <v>3</v>
      </c>
      <c r="H28" s="36">
        <v>2</v>
      </c>
      <c r="I28" s="36">
        <v>1</v>
      </c>
      <c r="J28" s="36">
        <v>2</v>
      </c>
      <c r="K28" s="27">
        <v>6</v>
      </c>
      <c r="L28" s="48">
        <v>3</v>
      </c>
      <c r="M28" s="48">
        <v>4</v>
      </c>
      <c r="N28" s="56">
        <v>8</v>
      </c>
      <c r="O28" s="2">
        <f t="shared" si="4"/>
        <v>32</v>
      </c>
    </row>
    <row r="29" spans="1:15" ht="30" customHeight="1" x14ac:dyDescent="0.25">
      <c r="A29" s="37">
        <f>+A21+1</f>
        <v>4</v>
      </c>
      <c r="B29" s="37" t="s">
        <v>201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60"/>
      <c r="O29" s="37"/>
    </row>
    <row r="30" spans="1:15" ht="33" customHeight="1" x14ac:dyDescent="0.25">
      <c r="A30" s="24">
        <f>+A29+0.1</f>
        <v>4.0999999999999996</v>
      </c>
      <c r="B30" s="18" t="s">
        <v>193</v>
      </c>
      <c r="C30" s="36">
        <f>2+2</f>
        <v>4</v>
      </c>
      <c r="D30" s="36">
        <f>1+3</f>
        <v>4</v>
      </c>
      <c r="E30" s="36">
        <f>2+2</f>
        <v>4</v>
      </c>
      <c r="F30" s="36">
        <f>4+5</f>
        <v>9</v>
      </c>
      <c r="G30" s="36">
        <f>5+1</f>
        <v>6</v>
      </c>
      <c r="H30" s="36">
        <f>2+1</f>
        <v>3</v>
      </c>
      <c r="I30" s="36">
        <v>7</v>
      </c>
      <c r="J30" s="36">
        <f>7+4</f>
        <v>11</v>
      </c>
      <c r="K30" s="36">
        <f>6+6</f>
        <v>12</v>
      </c>
      <c r="L30" s="48">
        <f>6+11</f>
        <v>17</v>
      </c>
      <c r="M30" s="48">
        <f>5+1</f>
        <v>6</v>
      </c>
      <c r="N30" s="58">
        <v>2</v>
      </c>
      <c r="O30" s="2">
        <f t="shared" ref="O30:O36" si="6">SUM(C30:N30)</f>
        <v>85</v>
      </c>
    </row>
    <row r="31" spans="1:15" ht="33" customHeight="1" x14ac:dyDescent="0.25">
      <c r="A31" s="24">
        <f t="shared" ref="A31:A36" si="7">+A30+0.1</f>
        <v>4.1999999999999993</v>
      </c>
      <c r="B31" s="18" t="s">
        <v>194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48">
        <v>0</v>
      </c>
      <c r="M31" s="48">
        <v>0</v>
      </c>
      <c r="N31" s="58">
        <v>0</v>
      </c>
      <c r="O31" s="2">
        <f t="shared" si="6"/>
        <v>0</v>
      </c>
    </row>
    <row r="32" spans="1:15" ht="33" customHeight="1" x14ac:dyDescent="0.25">
      <c r="A32" s="24">
        <f t="shared" si="7"/>
        <v>4.2999999999999989</v>
      </c>
      <c r="B32" s="18" t="s">
        <v>195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48">
        <v>0</v>
      </c>
      <c r="M32" s="48">
        <v>0</v>
      </c>
      <c r="N32" s="58">
        <v>0</v>
      </c>
      <c r="O32" s="2">
        <f t="shared" si="6"/>
        <v>0</v>
      </c>
    </row>
    <row r="33" spans="1:15" ht="33" customHeight="1" x14ac:dyDescent="0.25">
      <c r="A33" s="24">
        <f t="shared" si="7"/>
        <v>4.3999999999999986</v>
      </c>
      <c r="B33" s="18" t="s">
        <v>196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48">
        <v>0</v>
      </c>
      <c r="M33" s="48">
        <v>0</v>
      </c>
      <c r="N33" s="58">
        <v>0</v>
      </c>
      <c r="O33" s="2">
        <f t="shared" si="6"/>
        <v>0</v>
      </c>
    </row>
    <row r="34" spans="1:15" ht="33" customHeight="1" x14ac:dyDescent="0.25">
      <c r="A34" s="24">
        <f t="shared" si="7"/>
        <v>4.4999999999999982</v>
      </c>
      <c r="B34" s="18" t="s">
        <v>197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48">
        <v>0</v>
      </c>
      <c r="M34" s="48">
        <v>0</v>
      </c>
      <c r="N34" s="58">
        <v>0</v>
      </c>
      <c r="O34" s="2">
        <f t="shared" si="6"/>
        <v>0</v>
      </c>
    </row>
    <row r="35" spans="1:15" ht="33" customHeight="1" x14ac:dyDescent="0.25">
      <c r="A35" s="24">
        <f t="shared" si="7"/>
        <v>4.5999999999999979</v>
      </c>
      <c r="B35" s="18" t="s">
        <v>198</v>
      </c>
      <c r="C35" s="36">
        <f>8</f>
        <v>8</v>
      </c>
      <c r="D35" s="36">
        <f>3</f>
        <v>3</v>
      </c>
      <c r="E35" s="36">
        <f>1+7</f>
        <v>8</v>
      </c>
      <c r="F35" s="36">
        <f>1+2</f>
        <v>3</v>
      </c>
      <c r="G35" s="36">
        <f>3+9</f>
        <v>12</v>
      </c>
      <c r="H35" s="36">
        <f>4+7</f>
        <v>11</v>
      </c>
      <c r="I35" s="36">
        <v>8</v>
      </c>
      <c r="J35" s="36">
        <f>3+5</f>
        <v>8</v>
      </c>
      <c r="K35" s="36">
        <f>5+3</f>
        <v>8</v>
      </c>
      <c r="L35" s="48">
        <f>1+9</f>
        <v>10</v>
      </c>
      <c r="M35" s="48">
        <f>9</f>
        <v>9</v>
      </c>
      <c r="N35" s="58">
        <v>13</v>
      </c>
      <c r="O35" s="2">
        <f t="shared" si="6"/>
        <v>101</v>
      </c>
    </row>
    <row r="36" spans="1:15" ht="33" customHeight="1" x14ac:dyDescent="0.25">
      <c r="A36" s="24">
        <f t="shared" si="7"/>
        <v>4.6999999999999975</v>
      </c>
      <c r="B36" s="18" t="s">
        <v>192</v>
      </c>
      <c r="C36" s="36">
        <v>0</v>
      </c>
      <c r="D36" s="36">
        <f>0</f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27">
        <v>0</v>
      </c>
      <c r="L36" s="48">
        <v>0</v>
      </c>
      <c r="M36" s="48">
        <v>0</v>
      </c>
      <c r="N36" s="56">
        <v>0</v>
      </c>
      <c r="O36" s="2">
        <f t="shared" si="6"/>
        <v>0</v>
      </c>
    </row>
    <row r="37" spans="1:15" ht="30" customHeight="1" x14ac:dyDescent="0.25">
      <c r="A37" s="37">
        <f>+A29+1</f>
        <v>5</v>
      </c>
      <c r="B37" s="37" t="s">
        <v>251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60"/>
      <c r="O37" s="37"/>
    </row>
    <row r="38" spans="1:15" ht="33" customHeight="1" x14ac:dyDescent="0.25">
      <c r="A38" s="24">
        <f>+A37+0.1</f>
        <v>5.0999999999999996</v>
      </c>
      <c r="B38" s="18" t="s">
        <v>203</v>
      </c>
      <c r="C38" s="36">
        <f>3+5+61</f>
        <v>69</v>
      </c>
      <c r="D38" s="36">
        <f>2+8+1</f>
        <v>11</v>
      </c>
      <c r="E38" s="36">
        <f>3+2+32</f>
        <v>37</v>
      </c>
      <c r="F38" s="36">
        <f>4+1+86</f>
        <v>91</v>
      </c>
      <c r="G38" s="36">
        <f>4+6+31</f>
        <v>41</v>
      </c>
      <c r="H38" s="36">
        <f>3+4+19</f>
        <v>26</v>
      </c>
      <c r="I38" s="36">
        <v>60</v>
      </c>
      <c r="J38" s="36">
        <f>3+20+21</f>
        <v>44</v>
      </c>
      <c r="K38" s="36">
        <f>4+4+22</f>
        <v>30</v>
      </c>
      <c r="L38" s="48">
        <f>3+2+43</f>
        <v>48</v>
      </c>
      <c r="M38" s="48">
        <f>3+39</f>
        <v>42</v>
      </c>
      <c r="N38" s="58">
        <v>32</v>
      </c>
      <c r="O38" s="2">
        <f>SUM(C38:N38)</f>
        <v>531</v>
      </c>
    </row>
    <row r="39" spans="1:15" ht="33" customHeight="1" x14ac:dyDescent="0.25">
      <c r="A39" s="24">
        <f>+A38+0.1</f>
        <v>5.1999999999999993</v>
      </c>
      <c r="B39" s="18" t="s">
        <v>204</v>
      </c>
      <c r="C39" s="36">
        <f>9</f>
        <v>9</v>
      </c>
      <c r="D39" s="36">
        <v>0</v>
      </c>
      <c r="E39" s="36">
        <f>20</f>
        <v>20</v>
      </c>
      <c r="F39" s="36">
        <f>24</f>
        <v>24</v>
      </c>
      <c r="G39" s="36">
        <f>50</f>
        <v>50</v>
      </c>
      <c r="H39" s="36">
        <f>59</f>
        <v>59</v>
      </c>
      <c r="I39" s="36">
        <v>54</v>
      </c>
      <c r="J39" s="36">
        <v>23</v>
      </c>
      <c r="K39" s="36">
        <f>20</f>
        <v>20</v>
      </c>
      <c r="L39" s="48">
        <f>11</f>
        <v>11</v>
      </c>
      <c r="M39" s="48">
        <f>13</f>
        <v>13</v>
      </c>
      <c r="N39" s="58">
        <v>33</v>
      </c>
      <c r="O39" s="2">
        <f>SUM(C39:N39)</f>
        <v>316</v>
      </c>
    </row>
    <row r="40" spans="1:15" ht="33" customHeight="1" x14ac:dyDescent="0.25">
      <c r="A40" s="24">
        <f>+A39+0.1</f>
        <v>5.2999999999999989</v>
      </c>
      <c r="B40" s="18" t="s">
        <v>205</v>
      </c>
      <c r="C40" s="36">
        <f>55+17+6+12+21</f>
        <v>111</v>
      </c>
      <c r="D40" s="36">
        <f>41+14+92+12+7+10</f>
        <v>176</v>
      </c>
      <c r="E40" s="36">
        <f>36+72+14+10+8</f>
        <v>140</v>
      </c>
      <c r="F40" s="36">
        <f>29+26+95+17+9+1</f>
        <v>177</v>
      </c>
      <c r="G40" s="36">
        <f>37+29+22+161+2+8</f>
        <v>259</v>
      </c>
      <c r="H40" s="36">
        <f>37+12+70+15+28+21</f>
        <v>183</v>
      </c>
      <c r="I40" s="36">
        <v>184</v>
      </c>
      <c r="J40" s="36">
        <f>117+12+42+13+9+9</f>
        <v>202</v>
      </c>
      <c r="K40" s="36">
        <f>115+8+6+20+4+22</f>
        <v>175</v>
      </c>
      <c r="L40" s="48">
        <f>74+15+20+5+11+15</f>
        <v>140</v>
      </c>
      <c r="M40" s="48">
        <f>97+11+8+19+33</f>
        <v>168</v>
      </c>
      <c r="N40" s="56">
        <v>45</v>
      </c>
      <c r="O40" s="2">
        <f>SUM(C40:N40)</f>
        <v>1960</v>
      </c>
    </row>
    <row r="41" spans="1:15" ht="30" customHeight="1" x14ac:dyDescent="0.25">
      <c r="A41" s="37">
        <f>+A37+1</f>
        <v>6</v>
      </c>
      <c r="B41" s="37" t="s">
        <v>202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60"/>
      <c r="O41" s="37"/>
    </row>
    <row r="42" spans="1:15" ht="33" customHeight="1" x14ac:dyDescent="0.25">
      <c r="A42" s="24">
        <f>+A41+0.1</f>
        <v>6.1</v>
      </c>
      <c r="B42" s="18" t="s">
        <v>206</v>
      </c>
      <c r="C42" s="36">
        <f>1641</f>
        <v>1641</v>
      </c>
      <c r="D42" s="36">
        <v>1644</v>
      </c>
      <c r="E42" s="36">
        <v>1573</v>
      </c>
      <c r="F42" s="36">
        <v>1565</v>
      </c>
      <c r="G42" s="36">
        <v>1956</v>
      </c>
      <c r="H42" s="36">
        <v>2126</v>
      </c>
      <c r="I42" s="36">
        <v>2007</v>
      </c>
      <c r="J42" s="36">
        <v>1787</v>
      </c>
      <c r="K42" s="36">
        <v>1315</v>
      </c>
      <c r="L42" s="48">
        <v>1709</v>
      </c>
      <c r="M42" s="48">
        <v>1773</v>
      </c>
      <c r="N42" s="58">
        <v>1593</v>
      </c>
      <c r="O42" s="2">
        <f t="shared" ref="O42:O78" si="8">SUM(C42:N42)</f>
        <v>20689</v>
      </c>
    </row>
    <row r="43" spans="1:15" ht="33" customHeight="1" x14ac:dyDescent="0.25">
      <c r="A43" s="24">
        <f>+A42+0.1</f>
        <v>6.1999999999999993</v>
      </c>
      <c r="B43" s="18" t="s">
        <v>207</v>
      </c>
      <c r="C43" s="36">
        <f>1535</f>
        <v>1535</v>
      </c>
      <c r="D43" s="36">
        <f>1568</f>
        <v>1568</v>
      </c>
      <c r="E43" s="36">
        <v>1636</v>
      </c>
      <c r="F43" s="36">
        <v>1862</v>
      </c>
      <c r="G43" s="36">
        <v>2009</v>
      </c>
      <c r="H43" s="36">
        <v>1985</v>
      </c>
      <c r="I43" s="36">
        <v>1892</v>
      </c>
      <c r="J43" s="36">
        <v>1946</v>
      </c>
      <c r="K43" s="36">
        <v>1906</v>
      </c>
      <c r="L43" s="48">
        <v>1997</v>
      </c>
      <c r="M43" s="48">
        <v>1516</v>
      </c>
      <c r="N43" s="56">
        <v>1841</v>
      </c>
      <c r="O43" s="2">
        <f t="shared" si="8"/>
        <v>21693</v>
      </c>
    </row>
    <row r="44" spans="1:15" ht="33" customHeight="1" x14ac:dyDescent="0.25">
      <c r="A44" s="24">
        <f>+A43+0.1</f>
        <v>6.2999999999999989</v>
      </c>
      <c r="B44" s="18" t="s">
        <v>208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48">
        <v>0</v>
      </c>
      <c r="M44" s="48">
        <v>0</v>
      </c>
      <c r="N44" s="58">
        <v>0</v>
      </c>
      <c r="O44" s="2">
        <f t="shared" si="8"/>
        <v>0</v>
      </c>
    </row>
    <row r="45" spans="1:15" ht="33" customHeight="1" x14ac:dyDescent="0.25">
      <c r="A45" s="26">
        <f>+A44+0.1</f>
        <v>6.3999999999999986</v>
      </c>
      <c r="B45" s="21" t="s">
        <v>61</v>
      </c>
      <c r="C45" s="2">
        <f>SUM(C42:C44)</f>
        <v>3176</v>
      </c>
      <c r="D45" s="2">
        <f t="shared" ref="D45:M45" si="9">SUM(D42:D44)</f>
        <v>3212</v>
      </c>
      <c r="E45" s="2">
        <f t="shared" si="9"/>
        <v>3209</v>
      </c>
      <c r="F45" s="2">
        <f t="shared" si="9"/>
        <v>3427</v>
      </c>
      <c r="G45" s="2">
        <f t="shared" si="9"/>
        <v>3965</v>
      </c>
      <c r="H45" s="2">
        <f t="shared" si="9"/>
        <v>4111</v>
      </c>
      <c r="I45" s="2">
        <f t="shared" si="9"/>
        <v>3899</v>
      </c>
      <c r="J45" s="2">
        <f t="shared" si="9"/>
        <v>3733</v>
      </c>
      <c r="K45" s="2">
        <f t="shared" si="9"/>
        <v>3221</v>
      </c>
      <c r="L45" s="2">
        <f t="shared" si="9"/>
        <v>3706</v>
      </c>
      <c r="M45" s="2">
        <f t="shared" si="9"/>
        <v>3289</v>
      </c>
      <c r="N45" s="57">
        <v>3434</v>
      </c>
      <c r="O45" s="2">
        <f>SUM(C45:N45)</f>
        <v>42382</v>
      </c>
    </row>
    <row r="46" spans="1:15" ht="30" customHeight="1" x14ac:dyDescent="0.25">
      <c r="A46" s="37">
        <f>+A41+1</f>
        <v>7</v>
      </c>
      <c r="B46" s="37" t="s">
        <v>209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60"/>
      <c r="O46" s="37"/>
    </row>
    <row r="47" spans="1:15" ht="33" customHeight="1" x14ac:dyDescent="0.25">
      <c r="A47" s="24">
        <f>+A46+0.1</f>
        <v>7.1</v>
      </c>
      <c r="B47" s="18" t="s">
        <v>206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48">
        <v>0</v>
      </c>
      <c r="M47" s="48">
        <v>0</v>
      </c>
      <c r="N47" s="58">
        <v>0</v>
      </c>
      <c r="O47" s="2">
        <f t="shared" si="8"/>
        <v>0</v>
      </c>
    </row>
    <row r="48" spans="1:15" ht="33" customHeight="1" x14ac:dyDescent="0.25">
      <c r="A48" s="24">
        <f>+A47+0.1</f>
        <v>7.1999999999999993</v>
      </c>
      <c r="B48" s="18" t="s">
        <v>207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48">
        <v>0</v>
      </c>
      <c r="M48" s="48">
        <v>0</v>
      </c>
      <c r="N48" s="58">
        <v>0</v>
      </c>
      <c r="O48" s="2">
        <f t="shared" si="8"/>
        <v>0</v>
      </c>
    </row>
    <row r="49" spans="1:15" ht="33" customHeight="1" x14ac:dyDescent="0.25">
      <c r="A49" s="24">
        <f>+A48+0.1</f>
        <v>7.2999999999999989</v>
      </c>
      <c r="B49" s="18" t="s">
        <v>208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48">
        <v>0</v>
      </c>
      <c r="M49" s="48">
        <v>0</v>
      </c>
      <c r="N49" s="58">
        <v>0</v>
      </c>
      <c r="O49" s="2">
        <f t="shared" si="8"/>
        <v>0</v>
      </c>
    </row>
    <row r="50" spans="1:15" ht="33" customHeight="1" x14ac:dyDescent="0.25">
      <c r="A50" s="26">
        <f>+A49+0.1</f>
        <v>7.3999999999999986</v>
      </c>
      <c r="B50" s="9" t="s">
        <v>61</v>
      </c>
      <c r="C50" s="2">
        <f t="shared" ref="C50:H50" si="10">SUM(C47:C49)</f>
        <v>0</v>
      </c>
      <c r="D50" s="2">
        <f t="shared" si="10"/>
        <v>0</v>
      </c>
      <c r="E50" s="2">
        <f t="shared" si="10"/>
        <v>0</v>
      </c>
      <c r="F50" s="2">
        <f t="shared" si="10"/>
        <v>0</v>
      </c>
      <c r="G50" s="2">
        <f t="shared" si="10"/>
        <v>0</v>
      </c>
      <c r="H50" s="2">
        <f t="shared" si="10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57">
        <v>0</v>
      </c>
      <c r="O50" s="2">
        <f>SUM(C50:N50)</f>
        <v>0</v>
      </c>
    </row>
    <row r="51" spans="1:15" ht="30" customHeight="1" x14ac:dyDescent="0.25">
      <c r="A51" s="37">
        <f>+A46+1</f>
        <v>8</v>
      </c>
      <c r="B51" s="37" t="s">
        <v>252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60"/>
      <c r="O51" s="37"/>
    </row>
    <row r="52" spans="1:15" ht="33" customHeight="1" x14ac:dyDescent="0.25">
      <c r="A52" s="24">
        <f>+A51+0.1</f>
        <v>8.1</v>
      </c>
      <c r="B52" s="18" t="s">
        <v>206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48">
        <v>0</v>
      </c>
      <c r="M52" s="48">
        <v>0</v>
      </c>
      <c r="N52" s="58">
        <v>0</v>
      </c>
      <c r="O52" s="2">
        <f t="shared" si="8"/>
        <v>0</v>
      </c>
    </row>
    <row r="53" spans="1:15" ht="33" customHeight="1" x14ac:dyDescent="0.25">
      <c r="A53" s="24">
        <f>+A52+0.1</f>
        <v>8.1999999999999993</v>
      </c>
      <c r="B53" s="18" t="s">
        <v>207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48">
        <v>0</v>
      </c>
      <c r="M53" s="48">
        <v>0</v>
      </c>
      <c r="N53" s="58">
        <v>0</v>
      </c>
      <c r="O53" s="2">
        <f t="shared" si="8"/>
        <v>0</v>
      </c>
    </row>
    <row r="54" spans="1:15" ht="33" customHeight="1" x14ac:dyDescent="0.25">
      <c r="A54" s="24">
        <f>+A53+0.1</f>
        <v>8.2999999999999989</v>
      </c>
      <c r="B54" s="18" t="s">
        <v>208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48">
        <v>0</v>
      </c>
      <c r="M54" s="48">
        <v>0</v>
      </c>
      <c r="N54" s="58">
        <v>0</v>
      </c>
      <c r="O54" s="2">
        <f t="shared" si="8"/>
        <v>0</v>
      </c>
    </row>
    <row r="55" spans="1:15" ht="33" customHeight="1" x14ac:dyDescent="0.25">
      <c r="A55" s="26">
        <f>+A54+0.1</f>
        <v>8.3999999999999986</v>
      </c>
      <c r="B55" s="9" t="s">
        <v>61</v>
      </c>
      <c r="C55" s="2">
        <f t="shared" ref="C55:H55" si="11">SUM(C52:C54)</f>
        <v>0</v>
      </c>
      <c r="D55" s="2">
        <f t="shared" si="11"/>
        <v>0</v>
      </c>
      <c r="E55" s="2">
        <f t="shared" si="11"/>
        <v>0</v>
      </c>
      <c r="F55" s="2">
        <f t="shared" si="11"/>
        <v>0</v>
      </c>
      <c r="G55" s="2">
        <f t="shared" si="11"/>
        <v>0</v>
      </c>
      <c r="H55" s="2">
        <f t="shared" si="11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57">
        <v>0</v>
      </c>
      <c r="O55" s="2">
        <f>SUM(C55:N55)</f>
        <v>0</v>
      </c>
    </row>
    <row r="56" spans="1:15" ht="30" customHeight="1" x14ac:dyDescent="0.25">
      <c r="A56" s="37">
        <f>+A51+1</f>
        <v>9</v>
      </c>
      <c r="B56" s="37" t="s">
        <v>253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60"/>
      <c r="O56" s="37"/>
    </row>
    <row r="57" spans="1:15" ht="33" customHeight="1" x14ac:dyDescent="0.25">
      <c r="A57" s="24">
        <f>+A56+0.1</f>
        <v>9.1</v>
      </c>
      <c r="B57" s="18" t="s">
        <v>206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48">
        <v>0</v>
      </c>
      <c r="M57" s="48">
        <v>0</v>
      </c>
      <c r="N57" s="58">
        <v>0</v>
      </c>
      <c r="O57" s="2">
        <f>SUM(C57:N57)</f>
        <v>0</v>
      </c>
    </row>
    <row r="58" spans="1:15" ht="33" customHeight="1" x14ac:dyDescent="0.25">
      <c r="A58" s="24">
        <f>+A57+0.1</f>
        <v>9.1999999999999993</v>
      </c>
      <c r="B58" s="18" t="s">
        <v>207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48">
        <v>0</v>
      </c>
      <c r="M58" s="48">
        <v>0</v>
      </c>
      <c r="N58" s="58">
        <v>0</v>
      </c>
      <c r="O58" s="2">
        <f>SUM(C58:N58)</f>
        <v>0</v>
      </c>
    </row>
    <row r="59" spans="1:15" ht="33" customHeight="1" x14ac:dyDescent="0.25">
      <c r="A59" s="24">
        <f>+A58+0.1</f>
        <v>9.2999999999999989</v>
      </c>
      <c r="B59" s="18" t="s">
        <v>208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48">
        <v>0</v>
      </c>
      <c r="M59" s="48">
        <v>0</v>
      </c>
      <c r="N59" s="58">
        <v>0</v>
      </c>
      <c r="O59" s="2">
        <f>SUM(C59:N59)</f>
        <v>0</v>
      </c>
    </row>
    <row r="60" spans="1:15" ht="33" customHeight="1" x14ac:dyDescent="0.25">
      <c r="A60" s="26">
        <f>+A59+0.01</f>
        <v>9.3099999999999987</v>
      </c>
      <c r="B60" s="9" t="s">
        <v>61</v>
      </c>
      <c r="C60" s="2">
        <f t="shared" ref="C60:H60" si="12">SUM(C57:C59)</f>
        <v>0</v>
      </c>
      <c r="D60" s="2">
        <f t="shared" si="12"/>
        <v>0</v>
      </c>
      <c r="E60" s="2">
        <f t="shared" si="12"/>
        <v>0</v>
      </c>
      <c r="F60" s="2">
        <f t="shared" si="12"/>
        <v>0</v>
      </c>
      <c r="G60" s="2">
        <f t="shared" si="12"/>
        <v>0</v>
      </c>
      <c r="H60" s="2">
        <f t="shared" si="12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57">
        <v>0</v>
      </c>
      <c r="O60" s="2">
        <f>SUM(C60:N60)</f>
        <v>0</v>
      </c>
    </row>
    <row r="61" spans="1:15" ht="30" customHeight="1" x14ac:dyDescent="0.25">
      <c r="A61" s="37">
        <f>+A56+1</f>
        <v>10</v>
      </c>
      <c r="B61" s="37" t="s">
        <v>15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60"/>
      <c r="O61" s="37"/>
    </row>
    <row r="62" spans="1:15" ht="33" customHeight="1" x14ac:dyDescent="0.25">
      <c r="A62" s="24">
        <f>+A61+0.1</f>
        <v>10.1</v>
      </c>
      <c r="B62" s="18" t="s">
        <v>206</v>
      </c>
      <c r="C62" s="22">
        <v>42900</v>
      </c>
      <c r="D62" s="22">
        <v>32000</v>
      </c>
      <c r="E62" s="22">
        <v>55850</v>
      </c>
      <c r="F62" s="22">
        <v>41300</v>
      </c>
      <c r="G62" s="22">
        <v>40300</v>
      </c>
      <c r="H62" s="29">
        <v>53900</v>
      </c>
      <c r="I62" s="30">
        <v>65400</v>
      </c>
      <c r="J62" s="30">
        <v>35500</v>
      </c>
      <c r="K62" s="30">
        <v>51700</v>
      </c>
      <c r="L62" s="30">
        <v>73700</v>
      </c>
      <c r="M62" s="49">
        <v>43900</v>
      </c>
      <c r="N62" s="62">
        <v>73700</v>
      </c>
      <c r="O62" s="23">
        <f>SUM(C62:N62)</f>
        <v>610150</v>
      </c>
    </row>
    <row r="63" spans="1:15" ht="33" customHeight="1" x14ac:dyDescent="0.25">
      <c r="A63" s="24">
        <f>+A62+0.1</f>
        <v>10.199999999999999</v>
      </c>
      <c r="B63" s="18" t="s">
        <v>207</v>
      </c>
      <c r="C63" s="22">
        <f>30300</f>
        <v>30300</v>
      </c>
      <c r="D63" s="22">
        <v>18750</v>
      </c>
      <c r="E63" s="22">
        <v>8500</v>
      </c>
      <c r="F63" s="22">
        <v>3400</v>
      </c>
      <c r="G63" s="22">
        <v>12400</v>
      </c>
      <c r="H63" s="30">
        <v>23600</v>
      </c>
      <c r="I63" s="30">
        <v>6700</v>
      </c>
      <c r="J63" s="30">
        <v>8300</v>
      </c>
      <c r="K63" s="30">
        <v>14900</v>
      </c>
      <c r="L63" s="30">
        <v>15820</v>
      </c>
      <c r="M63" s="49">
        <v>25200</v>
      </c>
      <c r="N63" s="63">
        <v>18500</v>
      </c>
      <c r="O63" s="23">
        <f>SUM(C63:N63)</f>
        <v>186370</v>
      </c>
    </row>
    <row r="64" spans="1:15" ht="33" customHeight="1" x14ac:dyDescent="0.25">
      <c r="A64" s="24">
        <f>+A63+0.1</f>
        <v>10.299999999999999</v>
      </c>
      <c r="B64" s="18" t="s">
        <v>208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30" t="s">
        <v>260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59">
        <v>0</v>
      </c>
      <c r="O64" s="23">
        <f>SUM(C64:N64)</f>
        <v>0</v>
      </c>
    </row>
    <row r="65" spans="1:15" ht="33" customHeight="1" x14ac:dyDescent="0.25">
      <c r="A65" s="26">
        <f>+A64+0.1</f>
        <v>10.399999999999999</v>
      </c>
      <c r="B65" s="9" t="s">
        <v>61</v>
      </c>
      <c r="C65" s="14">
        <f>SUM(C62:C64)</f>
        <v>73200</v>
      </c>
      <c r="D65" s="14">
        <f t="shared" ref="D65:M65" si="13">SUM(D62:D64)</f>
        <v>50750</v>
      </c>
      <c r="E65" s="14">
        <f t="shared" si="13"/>
        <v>64350</v>
      </c>
      <c r="F65" s="14">
        <f t="shared" si="13"/>
        <v>44700</v>
      </c>
      <c r="G65" s="14">
        <f t="shared" si="13"/>
        <v>52700</v>
      </c>
      <c r="H65" s="14">
        <f t="shared" si="13"/>
        <v>77500</v>
      </c>
      <c r="I65" s="14">
        <f t="shared" si="13"/>
        <v>72100</v>
      </c>
      <c r="J65" s="14">
        <f t="shared" si="13"/>
        <v>43800</v>
      </c>
      <c r="K65" s="47">
        <f t="shared" si="13"/>
        <v>66600</v>
      </c>
      <c r="L65" s="47">
        <f t="shared" si="13"/>
        <v>89520</v>
      </c>
      <c r="M65" s="47">
        <f t="shared" si="13"/>
        <v>69100</v>
      </c>
      <c r="N65" s="61">
        <v>92200</v>
      </c>
      <c r="O65" s="7">
        <f>SUM(C65:N65)</f>
        <v>796520</v>
      </c>
    </row>
    <row r="66" spans="1:15" ht="30" customHeight="1" x14ac:dyDescent="0.25">
      <c r="A66" s="37">
        <f>+A61+1</f>
        <v>11</v>
      </c>
      <c r="B66" s="37" t="s">
        <v>215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60"/>
      <c r="O66" s="37"/>
    </row>
    <row r="67" spans="1:15" ht="46.5" customHeight="1" x14ac:dyDescent="0.25">
      <c r="A67" s="24">
        <f>+A66+0.1</f>
        <v>11.1</v>
      </c>
      <c r="B67" s="18" t="s">
        <v>214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48">
        <v>0</v>
      </c>
      <c r="M67" s="48">
        <v>0</v>
      </c>
      <c r="N67" s="58">
        <v>0</v>
      </c>
      <c r="O67" s="2">
        <f t="shared" si="8"/>
        <v>0</v>
      </c>
    </row>
    <row r="68" spans="1:15" ht="46.5" customHeight="1" x14ac:dyDescent="0.25">
      <c r="A68" s="24">
        <f>+A67+0.1</f>
        <v>11.2</v>
      </c>
      <c r="B68" s="18" t="s">
        <v>213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48">
        <v>0</v>
      </c>
      <c r="M68" s="48">
        <v>0</v>
      </c>
      <c r="N68" s="58">
        <v>0</v>
      </c>
      <c r="O68" s="2">
        <f t="shared" si="8"/>
        <v>0</v>
      </c>
    </row>
    <row r="69" spans="1:15" ht="46.5" customHeight="1" x14ac:dyDescent="0.25">
      <c r="A69" s="24">
        <f>+A68+0.1</f>
        <v>11.299999999999999</v>
      </c>
      <c r="B69" s="18" t="s">
        <v>212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48">
        <v>0</v>
      </c>
      <c r="M69" s="48">
        <v>0</v>
      </c>
      <c r="N69" s="58">
        <v>0</v>
      </c>
      <c r="O69" s="2">
        <f t="shared" si="8"/>
        <v>0</v>
      </c>
    </row>
    <row r="70" spans="1:15" ht="46.5" customHeight="1" x14ac:dyDescent="0.25">
      <c r="A70" s="24">
        <f>+A69+0.1</f>
        <v>11.399999999999999</v>
      </c>
      <c r="B70" s="18" t="s">
        <v>211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48">
        <v>0</v>
      </c>
      <c r="M70" s="48">
        <v>0</v>
      </c>
      <c r="N70" s="58">
        <v>0</v>
      </c>
      <c r="O70" s="2">
        <f t="shared" si="8"/>
        <v>0</v>
      </c>
    </row>
    <row r="71" spans="1:15" ht="46.5" customHeight="1" x14ac:dyDescent="0.25">
      <c r="A71" s="24">
        <f>+A70+0.1</f>
        <v>11.499999999999998</v>
      </c>
      <c r="B71" s="18" t="s">
        <v>210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48">
        <v>0</v>
      </c>
      <c r="M71" s="48">
        <v>0</v>
      </c>
      <c r="N71" s="58">
        <v>0</v>
      </c>
      <c r="O71" s="2">
        <f t="shared" si="8"/>
        <v>0</v>
      </c>
    </row>
    <row r="72" spans="1:15" ht="54.75" customHeight="1" x14ac:dyDescent="0.25">
      <c r="A72" s="37">
        <f>+A66+1</f>
        <v>12</v>
      </c>
      <c r="B72" s="37" t="s">
        <v>230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60"/>
      <c r="O72" s="37"/>
    </row>
    <row r="73" spans="1:15" ht="45" customHeight="1" x14ac:dyDescent="0.25">
      <c r="A73" s="24">
        <f>+A72+0.1</f>
        <v>12.1</v>
      </c>
      <c r="B73" s="18" t="s">
        <v>221</v>
      </c>
      <c r="C73" s="36">
        <v>0</v>
      </c>
      <c r="D73" s="36">
        <f>1</f>
        <v>1</v>
      </c>
      <c r="E73" s="36">
        <v>4</v>
      </c>
      <c r="F73" s="36">
        <v>2</v>
      </c>
      <c r="G73" s="36">
        <v>2</v>
      </c>
      <c r="H73" s="27">
        <v>1</v>
      </c>
      <c r="I73" s="36">
        <v>2</v>
      </c>
      <c r="J73" s="36">
        <v>2</v>
      </c>
      <c r="K73" s="27">
        <v>0</v>
      </c>
      <c r="L73" s="48">
        <v>0</v>
      </c>
      <c r="M73" s="48">
        <v>1</v>
      </c>
      <c r="N73" s="56">
        <v>2</v>
      </c>
      <c r="O73" s="2">
        <f t="shared" si="8"/>
        <v>17</v>
      </c>
    </row>
    <row r="74" spans="1:15" ht="45" customHeight="1" x14ac:dyDescent="0.25">
      <c r="A74" s="24">
        <f>+A73+0.1</f>
        <v>12.2</v>
      </c>
      <c r="B74" s="18" t="s">
        <v>222</v>
      </c>
      <c r="C74" s="27">
        <v>3</v>
      </c>
      <c r="D74" s="27">
        <v>0</v>
      </c>
      <c r="E74" s="27">
        <v>0</v>
      </c>
      <c r="F74" s="27">
        <v>1</v>
      </c>
      <c r="G74" s="36">
        <v>0</v>
      </c>
      <c r="H74" s="36">
        <v>0</v>
      </c>
      <c r="I74" s="36">
        <v>0</v>
      </c>
      <c r="J74" s="36">
        <v>0</v>
      </c>
      <c r="K74" s="27">
        <v>1</v>
      </c>
      <c r="L74" s="48">
        <v>0</v>
      </c>
      <c r="M74" s="48">
        <v>0</v>
      </c>
      <c r="N74" s="56">
        <v>0</v>
      </c>
      <c r="O74" s="2">
        <f t="shared" si="8"/>
        <v>5</v>
      </c>
    </row>
    <row r="75" spans="1:15" ht="30" customHeight="1" x14ac:dyDescent="0.25">
      <c r="A75" s="37">
        <f>+A72+1</f>
        <v>13</v>
      </c>
      <c r="B75" s="37" t="s">
        <v>223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60"/>
      <c r="O75" s="37"/>
    </row>
    <row r="76" spans="1:15" ht="45" customHeight="1" x14ac:dyDescent="0.25">
      <c r="A76" s="24">
        <f>+A75+0.1</f>
        <v>13.1</v>
      </c>
      <c r="B76" s="18" t="s">
        <v>224</v>
      </c>
      <c r="C76" s="36">
        <f>26+280</f>
        <v>306</v>
      </c>
      <c r="D76" s="36">
        <f>12+142+28</f>
        <v>182</v>
      </c>
      <c r="E76" s="36">
        <f>10+25+155</f>
        <v>190</v>
      </c>
      <c r="F76" s="36">
        <f>7+138+22+2</f>
        <v>169</v>
      </c>
      <c r="G76" s="36">
        <f>4+12+160</f>
        <v>176</v>
      </c>
      <c r="H76" s="36">
        <f>4+74+18</f>
        <v>96</v>
      </c>
      <c r="I76" s="31">
        <v>122</v>
      </c>
      <c r="J76" s="36">
        <f>6+93+12</f>
        <v>111</v>
      </c>
      <c r="K76" s="36">
        <f>104+15+7</f>
        <v>126</v>
      </c>
      <c r="L76" s="48">
        <f>11+149+17</f>
        <v>177</v>
      </c>
      <c r="M76" s="48">
        <f>13+125+18</f>
        <v>156</v>
      </c>
      <c r="N76" s="58">
        <v>199</v>
      </c>
      <c r="O76" s="2">
        <f t="shared" si="8"/>
        <v>2010</v>
      </c>
    </row>
    <row r="77" spans="1:15" ht="45" customHeight="1" x14ac:dyDescent="0.25">
      <c r="A77" s="24">
        <f t="shared" ref="A77:A84" si="14">+A76+0.1</f>
        <v>13.2</v>
      </c>
      <c r="B77" s="18" t="s">
        <v>216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48">
        <v>0</v>
      </c>
      <c r="M77" s="48">
        <v>0</v>
      </c>
      <c r="N77" s="58">
        <v>0</v>
      </c>
      <c r="O77" s="2">
        <f t="shared" si="8"/>
        <v>0</v>
      </c>
    </row>
    <row r="78" spans="1:15" ht="45" customHeight="1" x14ac:dyDescent="0.25">
      <c r="A78" s="24">
        <f t="shared" si="14"/>
        <v>13.299999999999999</v>
      </c>
      <c r="B78" s="18" t="s">
        <v>225</v>
      </c>
      <c r="C78" s="36">
        <f>34+201</f>
        <v>235</v>
      </c>
      <c r="D78" s="36">
        <f>54+8</f>
        <v>62</v>
      </c>
      <c r="E78" s="36">
        <f>1+172</f>
        <v>173</v>
      </c>
      <c r="F78" s="36">
        <f>258+51</f>
        <v>309</v>
      </c>
      <c r="G78" s="36">
        <f>1+156</f>
        <v>157</v>
      </c>
      <c r="H78" s="36">
        <f>153+36</f>
        <v>189</v>
      </c>
      <c r="I78" s="31">
        <v>156</v>
      </c>
      <c r="J78" s="36">
        <f>91+6</f>
        <v>97</v>
      </c>
      <c r="K78" s="36">
        <f>64+3</f>
        <v>67</v>
      </c>
      <c r="L78" s="48">
        <f>169+26</f>
        <v>195</v>
      </c>
      <c r="M78" s="48">
        <f>10+99</f>
        <v>109</v>
      </c>
      <c r="N78" s="58">
        <v>205</v>
      </c>
      <c r="O78" s="2">
        <f t="shared" si="8"/>
        <v>1954</v>
      </c>
    </row>
    <row r="79" spans="1:15" ht="45" customHeight="1" x14ac:dyDescent="0.25">
      <c r="A79" s="24">
        <f t="shared" si="14"/>
        <v>13.399999999999999</v>
      </c>
      <c r="B79" s="18" t="s">
        <v>226</v>
      </c>
      <c r="C79" s="36">
        <f>34+165</f>
        <v>199</v>
      </c>
      <c r="D79" s="36">
        <f>22</f>
        <v>22</v>
      </c>
      <c r="E79" s="36">
        <f>102</f>
        <v>102</v>
      </c>
      <c r="F79" s="36">
        <f>173+51</f>
        <v>224</v>
      </c>
      <c r="G79" s="36">
        <f>35</f>
        <v>35</v>
      </c>
      <c r="H79" s="36">
        <f>110+33</f>
        <v>143</v>
      </c>
      <c r="I79" s="36">
        <v>84</v>
      </c>
      <c r="J79" s="36">
        <f>8+4</f>
        <v>12</v>
      </c>
      <c r="K79" s="36">
        <f>14+1</f>
        <v>15</v>
      </c>
      <c r="L79" s="48">
        <f>65+21</f>
        <v>86</v>
      </c>
      <c r="M79" s="48">
        <f>6+1</f>
        <v>7</v>
      </c>
      <c r="N79" s="58">
        <v>81</v>
      </c>
      <c r="O79" s="2">
        <f t="shared" ref="O79:O86" si="15">SUM(C79:N79)</f>
        <v>1010</v>
      </c>
    </row>
    <row r="80" spans="1:15" ht="45" customHeight="1" x14ac:dyDescent="0.25">
      <c r="A80" s="24">
        <f t="shared" si="14"/>
        <v>13.499999999999998</v>
      </c>
      <c r="B80" s="18" t="s">
        <v>227</v>
      </c>
      <c r="C80" s="36">
        <f>36</f>
        <v>36</v>
      </c>
      <c r="D80" s="36">
        <f>32+8</f>
        <v>40</v>
      </c>
      <c r="E80" s="36">
        <f>1+70</f>
        <v>71</v>
      </c>
      <c r="F80" s="36">
        <f>85</f>
        <v>85</v>
      </c>
      <c r="G80" s="36">
        <f>1+121</f>
        <v>122</v>
      </c>
      <c r="H80" s="36">
        <f>43+3</f>
        <v>46</v>
      </c>
      <c r="I80" s="31">
        <v>72</v>
      </c>
      <c r="J80" s="36">
        <f>83+2</f>
        <v>85</v>
      </c>
      <c r="K80" s="36">
        <f>50+2</f>
        <v>52</v>
      </c>
      <c r="L80" s="48">
        <f>104+5</f>
        <v>109</v>
      </c>
      <c r="M80" s="48">
        <f>4+98</f>
        <v>102</v>
      </c>
      <c r="N80" s="58">
        <v>124</v>
      </c>
      <c r="O80" s="2">
        <f t="shared" si="15"/>
        <v>944</v>
      </c>
    </row>
    <row r="81" spans="1:15" ht="45" customHeight="1" x14ac:dyDescent="0.25">
      <c r="A81" s="24">
        <f t="shared" si="14"/>
        <v>13.599999999999998</v>
      </c>
      <c r="B81" s="18" t="s">
        <v>217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48">
        <v>0</v>
      </c>
      <c r="M81" s="48">
        <v>0</v>
      </c>
      <c r="N81" s="58">
        <v>0</v>
      </c>
      <c r="O81" s="2">
        <f t="shared" si="15"/>
        <v>0</v>
      </c>
    </row>
    <row r="82" spans="1:15" ht="45" customHeight="1" x14ac:dyDescent="0.25">
      <c r="A82" s="24">
        <f t="shared" si="14"/>
        <v>13.699999999999998</v>
      </c>
      <c r="B82" s="18" t="s">
        <v>218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48">
        <v>0</v>
      </c>
      <c r="M82" s="48">
        <v>0</v>
      </c>
      <c r="N82" s="58">
        <v>0</v>
      </c>
      <c r="O82" s="2">
        <f t="shared" si="15"/>
        <v>0</v>
      </c>
    </row>
    <row r="83" spans="1:15" ht="45" customHeight="1" x14ac:dyDescent="0.25">
      <c r="A83" s="24">
        <f t="shared" si="14"/>
        <v>13.799999999999997</v>
      </c>
      <c r="B83" s="18" t="s">
        <v>219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48">
        <v>0</v>
      </c>
      <c r="M83" s="48">
        <v>0</v>
      </c>
      <c r="N83" s="58">
        <v>0</v>
      </c>
      <c r="O83" s="2">
        <f t="shared" si="15"/>
        <v>0</v>
      </c>
    </row>
    <row r="84" spans="1:15" ht="45" customHeight="1" x14ac:dyDescent="0.25">
      <c r="A84" s="24">
        <f t="shared" si="14"/>
        <v>13.899999999999997</v>
      </c>
      <c r="B84" s="18" t="s">
        <v>228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48">
        <v>0</v>
      </c>
      <c r="M84" s="48">
        <v>0</v>
      </c>
      <c r="N84" s="58">
        <v>0</v>
      </c>
      <c r="O84" s="2">
        <f t="shared" si="15"/>
        <v>0</v>
      </c>
    </row>
    <row r="85" spans="1:15" ht="45" customHeight="1" x14ac:dyDescent="0.25">
      <c r="A85" s="17">
        <v>13.1</v>
      </c>
      <c r="B85" s="18" t="s">
        <v>229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48">
        <v>0</v>
      </c>
      <c r="M85" s="48">
        <v>0</v>
      </c>
      <c r="N85" s="58">
        <v>0</v>
      </c>
      <c r="O85" s="2">
        <f t="shared" si="15"/>
        <v>0</v>
      </c>
    </row>
    <row r="86" spans="1:15" ht="45" customHeight="1" x14ac:dyDescent="0.25">
      <c r="A86" s="17">
        <v>13.11</v>
      </c>
      <c r="B86" s="18" t="s">
        <v>220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48">
        <v>0</v>
      </c>
      <c r="M86" s="48">
        <v>0</v>
      </c>
      <c r="N86" s="58">
        <v>0</v>
      </c>
      <c r="O86" s="2">
        <f t="shared" si="15"/>
        <v>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7" fitToHeight="0" orientation="landscape" r:id="rId1"/>
  <rowBreaks count="2" manualBreakCount="2">
    <brk id="29" max="14" man="1"/>
    <brk id="55" max="14" man="1"/>
  </rowBreaks>
  <ignoredErrors>
    <ignoredError sqref="A21 A29 A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18</vt:i4>
      </vt:variant>
    </vt:vector>
  </HeadingPairs>
  <TitlesOfParts>
    <vt:vector size="29" baseType="lpstr">
      <vt:lpstr>Hoja2</vt:lpstr>
      <vt:lpstr>Hoja3</vt:lpstr>
      <vt:lpstr>COM</vt:lpstr>
      <vt:lpstr>PROT. CIV.</vt:lpstr>
      <vt:lpstr>Part C.</vt:lpstr>
      <vt:lpstr>CS</vt:lpstr>
      <vt:lpstr>DAC</vt:lpstr>
      <vt:lpstr>IV</vt:lpstr>
      <vt:lpstr>JUR</vt:lpstr>
      <vt:lpstr>TEC</vt:lpstr>
      <vt:lpstr>ADMN</vt:lpstr>
      <vt:lpstr>ADMN!Área_de_impresión</vt:lpstr>
      <vt:lpstr>COM!Área_de_impresión</vt:lpstr>
      <vt:lpstr>CS!Área_de_impresión</vt:lpstr>
      <vt:lpstr>DAC!Área_de_impresión</vt:lpstr>
      <vt:lpstr>IV!Área_de_impresión</vt:lpstr>
      <vt:lpstr>JUR!Área_de_impresión</vt:lpstr>
      <vt:lpstr>'Part C.'!Área_de_impresión</vt:lpstr>
      <vt:lpstr>'PROT. CIV.'!Área_de_impresión</vt:lpstr>
      <vt:lpstr>TEC!Área_de_impresión</vt:lpstr>
      <vt:lpstr>ADMN!Títulos_a_imprimir</vt:lpstr>
      <vt:lpstr>COM!Títulos_a_imprimir</vt:lpstr>
      <vt:lpstr>CS!Títulos_a_imprimir</vt:lpstr>
      <vt:lpstr>DAC!Títulos_a_imprimir</vt:lpstr>
      <vt:lpstr>IV!Títulos_a_imprimir</vt:lpstr>
      <vt:lpstr>JUR!Títulos_a_imprimir</vt:lpstr>
      <vt:lpstr>'Part C.'!Títulos_a_imprimir</vt:lpstr>
      <vt:lpstr>'PROT. CIV.'!Títulos_a_imprimir</vt:lpstr>
      <vt:lpstr>TEC!Títulos_a_imprimir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Michelle Narvaez Cuevas</cp:lastModifiedBy>
  <cp:lastPrinted>2019-12-02T16:03:10Z</cp:lastPrinted>
  <dcterms:created xsi:type="dcterms:W3CDTF">2013-01-10T16:37:33Z</dcterms:created>
  <dcterms:modified xsi:type="dcterms:W3CDTF">2020-01-08T21:57:35Z</dcterms:modified>
</cp:coreProperties>
</file>