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ernandez\Desktop\2 Indicadores\1 Indicadores Rep Mensual\12 Diciembre MME\"/>
    </mc:Choice>
  </mc:AlternateContent>
  <bookViews>
    <workbookView xWindow="0" yWindow="0" windowWidth="28800" windowHeight="12300" firstSheet="2" activeTab="6"/>
  </bookViews>
  <sheets>
    <sheet name="Hoja2" sheetId="1" state="hidden" r:id="rId1"/>
    <sheet name="Hoja3" sheetId="2" state="hidden" r:id="rId2"/>
    <sheet name="Admtva." sheetId="3" r:id="rId3"/>
    <sheet name="Com" sheetId="4" r:id="rId4"/>
    <sheet name="Prot. C" sheetId="5" r:id="rId5"/>
    <sheet name="Part.C" sheetId="6" r:id="rId6"/>
    <sheet name="CS" sheetId="7" r:id="rId7"/>
    <sheet name="DAC" sheetId="8" r:id="rId8"/>
    <sheet name="IV" sheetId="9" r:id="rId9"/>
    <sheet name="Jur" sheetId="10" r:id="rId10"/>
    <sheet name="Tec" sheetId="11" r:id="rId11"/>
  </sheets>
  <calcPr calcId="162913"/>
</workbook>
</file>

<file path=xl/calcChain.xml><?xml version="1.0" encoding="utf-8"?>
<calcChain xmlns="http://schemas.openxmlformats.org/spreadsheetml/2006/main">
  <c r="O6" i="7" l="1"/>
  <c r="N106" i="5" l="1"/>
  <c r="N98" i="5"/>
  <c r="N93" i="5"/>
  <c r="N60" i="5"/>
  <c r="N47" i="5"/>
  <c r="N80" i="10" l="1"/>
  <c r="N79" i="10"/>
  <c r="N78" i="10"/>
  <c r="N76" i="10"/>
  <c r="N65" i="10"/>
  <c r="N45" i="10"/>
  <c r="N40" i="10"/>
  <c r="N39" i="10"/>
  <c r="N38" i="10"/>
  <c r="N35" i="10"/>
  <c r="N28" i="10"/>
  <c r="N27" i="10"/>
  <c r="N22" i="10"/>
  <c r="N20" i="10"/>
  <c r="N19" i="10"/>
  <c r="N14" i="10"/>
  <c r="N12" i="10"/>
  <c r="N11" i="10"/>
  <c r="N8" i="10"/>
  <c r="N6" i="10"/>
  <c r="M29" i="4" l="1"/>
  <c r="L106" i="5" l="1"/>
  <c r="L98" i="5"/>
  <c r="L93" i="5"/>
  <c r="L60" i="5"/>
  <c r="L47" i="5"/>
  <c r="M106" i="5"/>
  <c r="M98" i="5"/>
  <c r="M93" i="5"/>
  <c r="M60" i="5"/>
  <c r="M47" i="5"/>
  <c r="M80" i="10" l="1"/>
  <c r="M79" i="10"/>
  <c r="M78" i="10"/>
  <c r="M76" i="10"/>
  <c r="M65" i="10"/>
  <c r="M45" i="10"/>
  <c r="M40" i="10"/>
  <c r="M39" i="10"/>
  <c r="M38" i="10"/>
  <c r="M35" i="10"/>
  <c r="M30" i="10"/>
  <c r="M27" i="10"/>
  <c r="M19" i="10"/>
  <c r="M14" i="10"/>
  <c r="M11" i="10"/>
  <c r="M8" i="10"/>
  <c r="M6" i="10"/>
  <c r="L29" i="4" l="1"/>
  <c r="L80" i="10" l="1"/>
  <c r="L79" i="10"/>
  <c r="L78" i="10"/>
  <c r="L76" i="10"/>
  <c r="L65" i="10"/>
  <c r="L45" i="10"/>
  <c r="L40" i="10"/>
  <c r="L39" i="10"/>
  <c r="L38" i="10"/>
  <c r="L35" i="10"/>
  <c r="L30" i="10"/>
  <c r="L28" i="10"/>
  <c r="L27" i="10"/>
  <c r="L22" i="10"/>
  <c r="L20" i="10"/>
  <c r="L19" i="10"/>
  <c r="L14" i="10"/>
  <c r="L12" i="10"/>
  <c r="L11" i="10"/>
  <c r="L8" i="10"/>
  <c r="L6" i="10"/>
  <c r="O20" i="11" l="1"/>
  <c r="O19" i="11"/>
  <c r="O18" i="11"/>
  <c r="O17" i="11"/>
  <c r="O15" i="11"/>
  <c r="O14" i="11"/>
  <c r="O13" i="11"/>
  <c r="O12" i="11"/>
  <c r="O11" i="11"/>
  <c r="O10" i="11"/>
  <c r="O9" i="11"/>
  <c r="O8" i="11"/>
  <c r="O7" i="11"/>
  <c r="O6" i="1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O5" i="11"/>
  <c r="O86" i="10"/>
  <c r="O85" i="10"/>
  <c r="O84" i="10"/>
  <c r="O83" i="10"/>
  <c r="O82" i="10"/>
  <c r="O81" i="10"/>
  <c r="K80" i="10"/>
  <c r="I80" i="10"/>
  <c r="F80" i="10"/>
  <c r="E80" i="10"/>
  <c r="D80" i="10"/>
  <c r="C80" i="10"/>
  <c r="K79" i="10"/>
  <c r="I79" i="10"/>
  <c r="F79" i="10"/>
  <c r="E79" i="10"/>
  <c r="D79" i="10"/>
  <c r="C79" i="10"/>
  <c r="O79" i="10" s="1"/>
  <c r="K78" i="10"/>
  <c r="I78" i="10"/>
  <c r="F78" i="10"/>
  <c r="E78" i="10"/>
  <c r="D78" i="10"/>
  <c r="C78" i="10"/>
  <c r="O77" i="10"/>
  <c r="K76" i="10"/>
  <c r="I76" i="10"/>
  <c r="F76" i="10"/>
  <c r="E76" i="10"/>
  <c r="D76" i="10"/>
  <c r="C76" i="10"/>
  <c r="O74" i="10"/>
  <c r="O73" i="10"/>
  <c r="O71" i="10"/>
  <c r="O70" i="10"/>
  <c r="O69" i="10"/>
  <c r="O68" i="10"/>
  <c r="O67" i="10"/>
  <c r="K65" i="10"/>
  <c r="I65" i="10"/>
  <c r="D65" i="10"/>
  <c r="C65" i="10"/>
  <c r="O64" i="10"/>
  <c r="E63" i="10"/>
  <c r="O63" i="10" s="1"/>
  <c r="F62" i="10"/>
  <c r="F65" i="10" s="1"/>
  <c r="E62" i="10"/>
  <c r="O62" i="10" s="1"/>
  <c r="O60" i="10"/>
  <c r="O59" i="10"/>
  <c r="O58" i="10"/>
  <c r="O57" i="10"/>
  <c r="O55" i="10"/>
  <c r="O54" i="10"/>
  <c r="O53" i="10"/>
  <c r="O52" i="10"/>
  <c r="O50" i="10"/>
  <c r="O49" i="10"/>
  <c r="O48" i="10"/>
  <c r="O47" i="10"/>
  <c r="K45" i="10"/>
  <c r="I45" i="10"/>
  <c r="D45" i="10"/>
  <c r="C45" i="10"/>
  <c r="O44" i="10"/>
  <c r="F43" i="10"/>
  <c r="E43" i="10"/>
  <c r="F42" i="10"/>
  <c r="E42" i="10"/>
  <c r="E45" i="10" s="1"/>
  <c r="K40" i="10"/>
  <c r="I40" i="10"/>
  <c r="F40" i="10"/>
  <c r="E40" i="10"/>
  <c r="D40" i="10"/>
  <c r="C40" i="10"/>
  <c r="K39" i="10"/>
  <c r="I39" i="10"/>
  <c r="F39" i="10"/>
  <c r="E39" i="10"/>
  <c r="D39" i="10"/>
  <c r="C39" i="10"/>
  <c r="K38" i="10"/>
  <c r="I38" i="10"/>
  <c r="F38" i="10"/>
  <c r="E38" i="10"/>
  <c r="D38" i="10"/>
  <c r="C38" i="10"/>
  <c r="O36" i="10"/>
  <c r="K35" i="10"/>
  <c r="I35" i="10"/>
  <c r="E35" i="10"/>
  <c r="D35" i="10"/>
  <c r="C35" i="10"/>
  <c r="O34" i="10"/>
  <c r="O33" i="10"/>
  <c r="O32" i="10"/>
  <c r="O31" i="10"/>
  <c r="E30" i="10"/>
  <c r="D30" i="10"/>
  <c r="C30" i="10"/>
  <c r="O28" i="10"/>
  <c r="K27" i="10"/>
  <c r="E27" i="10"/>
  <c r="D27" i="10"/>
  <c r="C27" i="10"/>
  <c r="O26" i="10"/>
  <c r="O25" i="10"/>
  <c r="O24" i="10"/>
  <c r="O23" i="10"/>
  <c r="E22" i="10"/>
  <c r="D22" i="10"/>
  <c r="C22" i="10"/>
  <c r="O20" i="10"/>
  <c r="K19" i="10"/>
  <c r="I19" i="10"/>
  <c r="E19" i="10"/>
  <c r="D19" i="10"/>
  <c r="C19" i="10"/>
  <c r="O18" i="10"/>
  <c r="O17" i="10"/>
  <c r="O16" i="10"/>
  <c r="O15" i="10"/>
  <c r="K14" i="10"/>
  <c r="E14" i="10"/>
  <c r="D14" i="10"/>
  <c r="C14" i="10"/>
  <c r="A14" i="10"/>
  <c r="A15" i="10" s="1"/>
  <c r="A16" i="10" s="1"/>
  <c r="A17" i="10" s="1"/>
  <c r="A18" i="10" s="1"/>
  <c r="A19" i="10" s="1"/>
  <c r="A20" i="10" s="1"/>
  <c r="A13" i="10"/>
  <c r="A21" i="10" s="1"/>
  <c r="A29" i="10" s="1"/>
  <c r="O12" i="10"/>
  <c r="K12" i="10"/>
  <c r="K11" i="10"/>
  <c r="I11" i="10"/>
  <c r="E11" i="10"/>
  <c r="D11" i="10"/>
  <c r="C11" i="10"/>
  <c r="O11" i="10" s="1"/>
  <c r="O10" i="10"/>
  <c r="O9" i="10"/>
  <c r="K8" i="10"/>
  <c r="I8" i="10"/>
  <c r="F8" i="10"/>
  <c r="E8" i="10"/>
  <c r="D8" i="10"/>
  <c r="C8" i="10"/>
  <c r="O8" i="10" s="1"/>
  <c r="O7" i="10"/>
  <c r="K6" i="10"/>
  <c r="I6" i="10"/>
  <c r="F6" i="10"/>
  <c r="E6" i="10"/>
  <c r="D6" i="10"/>
  <c r="C6" i="10"/>
  <c r="A6" i="10"/>
  <c r="A7" i="10" s="1"/>
  <c r="A8" i="10" s="1"/>
  <c r="A9" i="10" s="1"/>
  <c r="A10" i="10" s="1"/>
  <c r="A11" i="10" s="1"/>
  <c r="A12" i="10" s="1"/>
  <c r="O7" i="9"/>
  <c r="O6" i="9"/>
  <c r="A6" i="9"/>
  <c r="A7" i="9" s="1"/>
  <c r="O5" i="9"/>
  <c r="O17" i="8"/>
  <c r="O16" i="8"/>
  <c r="O15" i="8"/>
  <c r="O14" i="8"/>
  <c r="O13" i="8"/>
  <c r="A13" i="8"/>
  <c r="A14" i="8" s="1"/>
  <c r="A15" i="8" s="1"/>
  <c r="A16" i="8" s="1"/>
  <c r="A17" i="8" s="1"/>
  <c r="A12" i="8"/>
  <c r="O11" i="8"/>
  <c r="O10" i="8"/>
  <c r="O9" i="8"/>
  <c r="O8" i="8"/>
  <c r="O7" i="8"/>
  <c r="O6" i="8"/>
  <c r="A6" i="8"/>
  <c r="A7" i="8" s="1"/>
  <c r="A8" i="8" s="1"/>
  <c r="A9" i="8" s="1"/>
  <c r="A10" i="8" s="1"/>
  <c r="A11" i="8" s="1"/>
  <c r="O18" i="7"/>
  <c r="O17" i="7"/>
  <c r="O16" i="7"/>
  <c r="O15" i="7"/>
  <c r="A14" i="7"/>
  <c r="A15" i="7" s="1"/>
  <c r="A16" i="7" s="1"/>
  <c r="A17" i="7" s="1"/>
  <c r="A18" i="7" s="1"/>
  <c r="O12" i="7"/>
  <c r="O11" i="7"/>
  <c r="E10" i="7"/>
  <c r="O9" i="7"/>
  <c r="O8" i="7"/>
  <c r="O7" i="7"/>
  <c r="A6" i="7"/>
  <c r="A7" i="7" s="1"/>
  <c r="A8" i="7" s="1"/>
  <c r="A9" i="7" s="1"/>
  <c r="A10" i="7" s="1"/>
  <c r="A11" i="7" s="1"/>
  <c r="A12" i="7" s="1"/>
  <c r="A13" i="7" s="1"/>
  <c r="O24" i="6"/>
  <c r="O23" i="6"/>
  <c r="O22" i="6"/>
  <c r="O21" i="6"/>
  <c r="O20" i="6"/>
  <c r="O18" i="6"/>
  <c r="O16" i="6"/>
  <c r="O14" i="6"/>
  <c r="O13" i="6"/>
  <c r="O12" i="6"/>
  <c r="A11" i="6"/>
  <c r="A15" i="6" s="1"/>
  <c r="O10" i="6"/>
  <c r="O9" i="6"/>
  <c r="O8" i="6"/>
  <c r="O7" i="6"/>
  <c r="O6" i="6"/>
  <c r="A6" i="6"/>
  <c r="A7" i="6" s="1"/>
  <c r="A8" i="6" s="1"/>
  <c r="A9" i="6" s="1"/>
  <c r="A10" i="6" s="1"/>
  <c r="O122" i="5"/>
  <c r="O121" i="5"/>
  <c r="O120" i="5"/>
  <c r="O119" i="5"/>
  <c r="O117" i="5"/>
  <c r="O116" i="5"/>
  <c r="O115" i="5"/>
  <c r="O114" i="5"/>
  <c r="O113" i="5"/>
  <c r="O112" i="5"/>
  <c r="O111" i="5"/>
  <c r="O110" i="5"/>
  <c r="O109" i="5"/>
  <c r="O108" i="5"/>
  <c r="K106" i="5"/>
  <c r="I106" i="5"/>
  <c r="F106" i="5"/>
  <c r="D106" i="5"/>
  <c r="C106" i="5"/>
  <c r="O105" i="5"/>
  <c r="O104" i="5"/>
  <c r="O103" i="5"/>
  <c r="O102" i="5"/>
  <c r="O101" i="5"/>
  <c r="O100" i="5"/>
  <c r="K98" i="5"/>
  <c r="I98" i="5"/>
  <c r="F98" i="5"/>
  <c r="D98" i="5"/>
  <c r="C98" i="5"/>
  <c r="O98" i="5" s="1"/>
  <c r="O97" i="5"/>
  <c r="O96" i="5"/>
  <c r="O95" i="5"/>
  <c r="K93" i="5"/>
  <c r="I93" i="5"/>
  <c r="F93" i="5"/>
  <c r="D93" i="5"/>
  <c r="C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A78" i="5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K60" i="5"/>
  <c r="I60" i="5"/>
  <c r="F60" i="5"/>
  <c r="D60" i="5"/>
  <c r="C60" i="5"/>
  <c r="O59" i="5"/>
  <c r="O58" i="5"/>
  <c r="O57" i="5"/>
  <c r="O56" i="5"/>
  <c r="O55" i="5"/>
  <c r="O54" i="5"/>
  <c r="O53" i="5"/>
  <c r="O52" i="5"/>
  <c r="O51" i="5"/>
  <c r="O50" i="5"/>
  <c r="O49" i="5"/>
  <c r="K47" i="5"/>
  <c r="I47" i="5"/>
  <c r="F47" i="5"/>
  <c r="D47" i="5"/>
  <c r="C47" i="5"/>
  <c r="O46" i="5"/>
  <c r="O45" i="5"/>
  <c r="O44" i="5"/>
  <c r="O43" i="5"/>
  <c r="O42" i="5"/>
  <c r="O41" i="5"/>
  <c r="O40" i="5"/>
  <c r="O39" i="5"/>
  <c r="O38" i="5"/>
  <c r="O37" i="5"/>
  <c r="O36" i="5"/>
  <c r="O35" i="5"/>
  <c r="O33" i="5"/>
  <c r="O32" i="5"/>
  <c r="O31" i="5"/>
  <c r="O30" i="5"/>
  <c r="O29" i="5"/>
  <c r="O28" i="5"/>
  <c r="O27" i="5"/>
  <c r="O26" i="5"/>
  <c r="O25" i="5"/>
  <c r="O24" i="5"/>
  <c r="O22" i="5"/>
  <c r="O21" i="5"/>
  <c r="O20" i="5"/>
  <c r="O19" i="5"/>
  <c r="O18" i="5"/>
  <c r="O16" i="5"/>
  <c r="O15" i="5"/>
  <c r="O14" i="5"/>
  <c r="O13" i="5"/>
  <c r="O12" i="5"/>
  <c r="O11" i="5"/>
  <c r="O9" i="5"/>
  <c r="O8" i="5"/>
  <c r="A8" i="5"/>
  <c r="A9" i="5" s="1"/>
  <c r="A10" i="5" s="1"/>
  <c r="A17" i="5" s="1"/>
  <c r="O7" i="5"/>
  <c r="O6" i="5"/>
  <c r="A6" i="5"/>
  <c r="O5" i="5"/>
  <c r="K29" i="4"/>
  <c r="I29" i="4"/>
  <c r="F29" i="4"/>
  <c r="E29" i="4"/>
  <c r="D29" i="4"/>
  <c r="O29" i="4" s="1"/>
  <c r="C29" i="4"/>
  <c r="O28" i="4"/>
  <c r="O27" i="4"/>
  <c r="O26" i="4"/>
  <c r="O25" i="4"/>
  <c r="O24" i="4"/>
  <c r="O23" i="4"/>
  <c r="O22" i="4"/>
  <c r="O20" i="4"/>
  <c r="O19" i="4"/>
  <c r="O18" i="4"/>
  <c r="O17" i="4"/>
  <c r="O15" i="4"/>
  <c r="O14" i="4"/>
  <c r="O13" i="4"/>
  <c r="O11" i="4"/>
  <c r="C11" i="4"/>
  <c r="O10" i="4"/>
  <c r="O9" i="4"/>
  <c r="O7" i="4"/>
  <c r="O6" i="4"/>
  <c r="A6" i="4"/>
  <c r="A7" i="4" s="1"/>
  <c r="A8" i="4" s="1"/>
  <c r="O5" i="4"/>
  <c r="O5" i="3"/>
  <c r="F45" i="10" l="1"/>
  <c r="A12" i="6"/>
  <c r="A13" i="6" s="1"/>
  <c r="A14" i="6" s="1"/>
  <c r="O6" i="10"/>
  <c r="O14" i="10"/>
  <c r="O19" i="10"/>
  <c r="O22" i="10"/>
  <c r="O27" i="10"/>
  <c r="O30" i="10"/>
  <c r="O35" i="10"/>
  <c r="O38" i="10"/>
  <c r="O39" i="10"/>
  <c r="O40" i="10"/>
  <c r="E65" i="10"/>
  <c r="O65" i="10" s="1"/>
  <c r="O76" i="10"/>
  <c r="O13" i="7"/>
  <c r="A12" i="4"/>
  <c r="A9" i="4"/>
  <c r="A10" i="4" s="1"/>
  <c r="A11" i="4" s="1"/>
  <c r="A23" i="5"/>
  <c r="A18" i="5"/>
  <c r="A19" i="5" s="1"/>
  <c r="A20" i="5" s="1"/>
  <c r="A21" i="5" s="1"/>
  <c r="A22" i="5" s="1"/>
  <c r="A17" i="6"/>
  <c r="A16" i="6"/>
  <c r="O45" i="10"/>
  <c r="A11" i="5"/>
  <c r="A12" i="5" s="1"/>
  <c r="A13" i="5" s="1"/>
  <c r="A14" i="5" s="1"/>
  <c r="A15" i="5" s="1"/>
  <c r="A16" i="5" s="1"/>
  <c r="O47" i="5"/>
  <c r="O60" i="5"/>
  <c r="O93" i="5"/>
  <c r="O106" i="5"/>
  <c r="A37" i="10"/>
  <c r="A30" i="10"/>
  <c r="A31" i="10" s="1"/>
  <c r="A32" i="10" s="1"/>
  <c r="A33" i="10" s="1"/>
  <c r="A34" i="10" s="1"/>
  <c r="A35" i="10" s="1"/>
  <c r="A36" i="10" s="1"/>
  <c r="A22" i="10"/>
  <c r="A23" i="10" s="1"/>
  <c r="A24" i="10" s="1"/>
  <c r="A25" i="10" s="1"/>
  <c r="A26" i="10" s="1"/>
  <c r="A27" i="10" s="1"/>
  <c r="A28" i="10" s="1"/>
  <c r="O10" i="7"/>
  <c r="O43" i="10"/>
  <c r="O78" i="10"/>
  <c r="O80" i="10"/>
  <c r="O42" i="10"/>
  <c r="A41" i="10" l="1"/>
  <c r="A38" i="10"/>
  <c r="A39" i="10" s="1"/>
  <c r="A40" i="10" s="1"/>
  <c r="A19" i="6"/>
  <c r="A20" i="6" s="1"/>
  <c r="A21" i="6" s="1"/>
  <c r="A22" i="6" s="1"/>
  <c r="A23" i="6" s="1"/>
  <c r="A24" i="6" s="1"/>
  <c r="A18" i="6"/>
  <c r="A34" i="5"/>
  <c r="A24" i="5"/>
  <c r="A25" i="5" s="1"/>
  <c r="A26" i="5" s="1"/>
  <c r="A27" i="5" s="1"/>
  <c r="A28" i="5" s="1"/>
  <c r="A29" i="5" s="1"/>
  <c r="A30" i="5" s="1"/>
  <c r="A31" i="5" s="1"/>
  <c r="A32" i="5" s="1"/>
  <c r="A16" i="4"/>
  <c r="A13" i="4"/>
  <c r="A14" i="4" s="1"/>
  <c r="A15" i="4" s="1"/>
  <c r="A21" i="4" l="1"/>
  <c r="A22" i="4" s="1"/>
  <c r="A23" i="4" s="1"/>
  <c r="A24" i="4" s="1"/>
  <c r="A25" i="4" s="1"/>
  <c r="A26" i="4" s="1"/>
  <c r="A27" i="4" s="1"/>
  <c r="A28" i="4" s="1"/>
  <c r="A29" i="4" s="1"/>
  <c r="A17" i="4"/>
  <c r="A18" i="4" s="1"/>
  <c r="A19" i="4" s="1"/>
  <c r="A20" i="4" s="1"/>
  <c r="A48" i="5"/>
  <c r="A35" i="5"/>
  <c r="A36" i="5" s="1"/>
  <c r="A37" i="5" s="1"/>
  <c r="A38" i="5" s="1"/>
  <c r="A39" i="5" s="1"/>
  <c r="A40" i="5" s="1"/>
  <c r="A41" i="5" s="1"/>
  <c r="A42" i="5" s="1"/>
  <c r="A43" i="5" s="1"/>
  <c r="A46" i="10"/>
  <c r="A42" i="10"/>
  <c r="A43" i="10" s="1"/>
  <c r="A44" i="10" s="1"/>
  <c r="A45" i="10" s="1"/>
  <c r="A51" i="10" l="1"/>
  <c r="A47" i="10"/>
  <c r="A48" i="10" s="1"/>
  <c r="A49" i="10" s="1"/>
  <c r="A50" i="10" s="1"/>
  <c r="A49" i="5"/>
  <c r="A50" i="5" s="1"/>
  <c r="A51" i="5" s="1"/>
  <c r="A52" i="5" s="1"/>
  <c r="A53" i="5" s="1"/>
  <c r="A54" i="5" s="1"/>
  <c r="A55" i="5" s="1"/>
  <c r="A56" i="5" s="1"/>
  <c r="A57" i="5" s="1"/>
  <c r="A61" i="5"/>
  <c r="A56" i="10" l="1"/>
  <c r="A52" i="10"/>
  <c r="A53" i="10" s="1"/>
  <c r="A54" i="10" s="1"/>
  <c r="A55" i="10" s="1"/>
  <c r="A62" i="5"/>
  <c r="A63" i="5" s="1"/>
  <c r="A64" i="5" s="1"/>
  <c r="A65" i="5" s="1"/>
  <c r="A66" i="5" s="1"/>
  <c r="A67" i="5" s="1"/>
  <c r="A68" i="5" s="1"/>
  <c r="A69" i="5" s="1"/>
  <c r="A70" i="5" s="1"/>
  <c r="A94" i="5"/>
  <c r="A99" i="5" l="1"/>
  <c r="A95" i="5"/>
  <c r="A96" i="5" s="1"/>
  <c r="A97" i="5" s="1"/>
  <c r="A98" i="5" s="1"/>
  <c r="A61" i="10"/>
  <c r="A57" i="10"/>
  <c r="A58" i="10" s="1"/>
  <c r="A59" i="10" s="1"/>
  <c r="A60" i="10" s="1"/>
  <c r="A66" i="10" l="1"/>
  <c r="A62" i="10"/>
  <c r="A63" i="10" s="1"/>
  <c r="A64" i="10" s="1"/>
  <c r="A65" i="10" s="1"/>
  <c r="A107" i="5"/>
  <c r="A100" i="5"/>
  <c r="A101" i="5" s="1"/>
  <c r="A102" i="5" s="1"/>
  <c r="A103" i="5" s="1"/>
  <c r="A104" i="5" s="1"/>
  <c r="A105" i="5" s="1"/>
  <c r="A106" i="5" s="1"/>
  <c r="A108" i="5" l="1"/>
  <c r="A109" i="5" s="1"/>
  <c r="A110" i="5" s="1"/>
  <c r="A111" i="5" s="1"/>
  <c r="A112" i="5" s="1"/>
  <c r="A113" i="5" s="1"/>
  <c r="A114" i="5" s="1"/>
  <c r="A115" i="5" s="1"/>
  <c r="A116" i="5" s="1"/>
  <c r="A118" i="5"/>
  <c r="A119" i="5" s="1"/>
  <c r="A120" i="5" s="1"/>
  <c r="A121" i="5" s="1"/>
  <c r="A122" i="5" s="1"/>
  <c r="A72" i="10"/>
  <c r="A67" i="10"/>
  <c r="A68" i="10" s="1"/>
  <c r="A69" i="10" s="1"/>
  <c r="A70" i="10" s="1"/>
  <c r="A71" i="10" s="1"/>
  <c r="A75" i="10" l="1"/>
  <c r="A76" i="10" s="1"/>
  <c r="A77" i="10" s="1"/>
  <c r="A78" i="10" s="1"/>
  <c r="A79" i="10" s="1"/>
  <c r="A80" i="10" s="1"/>
  <c r="A81" i="10" s="1"/>
  <c r="A82" i="10" s="1"/>
  <c r="A83" i="10" s="1"/>
  <c r="A84" i="10" s="1"/>
  <c r="A73" i="10"/>
  <c r="A74" i="10" s="1"/>
</calcChain>
</file>

<file path=xl/sharedStrings.xml><?xml version="1.0" encoding="utf-8"?>
<sst xmlns="http://schemas.openxmlformats.org/spreadsheetml/2006/main" count="462" uniqueCount="273">
  <si>
    <t>SECRETARÍA DEL AYUNTAMIENTO</t>
  </si>
  <si>
    <t>ESTADÍSTICA 2020</t>
  </si>
  <si>
    <t>No.</t>
  </si>
  <si>
    <t>Nombre de Variable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</si>
  <si>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</si>
  <si>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</si>
  <si>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</si>
  <si>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</si>
  <si>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</si>
  <si>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</si>
  <si>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</si>
  <si>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</si>
  <si>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</si>
  <si>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</si>
  <si>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</si>
  <si>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</si>
  <si>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</si>
  <si>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Permisos  expedidos para utilizar las áreas públicas</t>
  </si>
  <si>
    <t>Permisos autorizados  (art. 23 del Reglamento para el Uso de la Vía Pública en el Ejercicio de la Actividad Comercial en Monterrey,N.L.)</t>
  </si>
  <si>
    <t>*(1) Permisos eventuales o de temporada autorizados (art. 33 del Reglamento para el Uso de la Vía Pública en el Ejercicio de la Actividad Comercial en Monterrey,N.L.)</t>
  </si>
  <si>
    <t>*(3) Reubicación de comerciantes de vía pública</t>
  </si>
  <si>
    <t>Operativos</t>
  </si>
  <si>
    <t>*(2) Operativos de comercio en vía pública</t>
  </si>
  <si>
    <t>*(2) Operativos en mercados rodantes</t>
  </si>
  <si>
    <t>Total de operativos</t>
  </si>
  <si>
    <t>Atención ciudadana</t>
  </si>
  <si>
    <t>Atención ciudadana en las oficinas de la Dirección de Comercio</t>
  </si>
  <si>
    <t xml:space="preserve">Quejas recibidas </t>
  </si>
  <si>
    <t xml:space="preserve">Quejas resueltas </t>
  </si>
  <si>
    <t>Retención, bajas, multas y/o amonestaciones</t>
  </si>
  <si>
    <t xml:space="preserve">Retenciones - Actas de levantamiento de enseres </t>
  </si>
  <si>
    <t>Bajas de retenciones por perecederos</t>
  </si>
  <si>
    <t>Amonestaciones</t>
  </si>
  <si>
    <t>Multas aplicadas</t>
  </si>
  <si>
    <t>Ingresos</t>
  </si>
  <si>
    <t>Ingreso recaudado por multas (cta. 4181)</t>
  </si>
  <si>
    <t>Ingresos por ocupación vía pública  (cta. 2810)</t>
  </si>
  <si>
    <t>Ingresos por ocupación vía pública provisional (cta. 2811)</t>
  </si>
  <si>
    <t>Aportación por administración (cta. 2814)</t>
  </si>
  <si>
    <t>Mercados rodantes (cta 2815)</t>
  </si>
  <si>
    <t>Ingresos por mercados municipales</t>
  </si>
  <si>
    <t>Ingresos por baños públicos</t>
  </si>
  <si>
    <t>Ingresos totales</t>
  </si>
  <si>
    <t>NOTA:</t>
  </si>
  <si>
    <t>*(1) Los permisos eventuales o de temporada se registran en las cuentas 2811, dichos permisos no incrementan el Padrón de Comerciantes.</t>
  </si>
  <si>
    <t>*(2) Operativo significa acciones especiales de inspección y aplicación del reglamento para efectos de reubicación y/o retención de mercancías,  implantadas para verificar aspectos específicos.</t>
  </si>
  <si>
    <t>*(3) Los oferentes de puestos fijos y semifijos que cuentan con un numero de folio otorgado por la Dirección de Comercio, tienen asignada una dirección de trabajo autorizada, se consideran reubicaciones, cuando en beneficio de los comerciantes o de la ciudadanía, se les asigna una ubicación de trabajo diferente, aún sin cambiar al oferente del domicilio señalado en su folio.</t>
  </si>
  <si>
    <t>Nota: La Cuenta 2814 (Ene, Feb-2012) fue reportada por la Direccion de Ingresos en virtud de haber aportacion en dicho rubro.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</si>
  <si>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</si>
  <si>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</si>
  <si>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</si>
  <si>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</si>
  <si>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</si>
  <si>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Área de inspección y vigilancia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</si>
  <si>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</si>
  <si>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</si>
  <si>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</si>
  <si>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</si>
  <si>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</si>
  <si>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</si>
  <si>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</si>
  <si>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</si>
  <si>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</si>
  <si>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</si>
  <si>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</si>
  <si>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</si>
  <si>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Coordinación operativa en accidentes viales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</si>
  <si>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</si>
  <si>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</si>
  <si>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</si>
  <si>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</si>
  <si>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</si>
  <si>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</si>
  <si>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</si>
  <si>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</si>
  <si>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</si>
  <si>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Total</t>
  </si>
  <si>
    <t>Coordinación operativa en incendios urbanos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</si>
  <si>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</si>
  <si>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</si>
  <si>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</si>
  <si>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</si>
  <si>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</si>
  <si>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</si>
  <si>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</si>
  <si>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</si>
  <si>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</si>
  <si>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</si>
  <si>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</si>
  <si>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</si>
  <si>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Coordinación operativa en fugas y derrames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</si>
  <si>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</si>
  <si>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</si>
  <si>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</si>
  <si>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</si>
  <si>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</si>
  <si>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</si>
  <si>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</si>
  <si>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</si>
  <si>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</si>
  <si>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</si>
  <si>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</si>
  <si>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</si>
  <si>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</si>
  <si>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</si>
  <si>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</si>
  <si>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</si>
  <si>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</si>
  <si>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</si>
  <si>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</si>
  <si>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</si>
  <si>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</si>
  <si>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</si>
  <si>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</si>
  <si>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</si>
  <si>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</si>
  <si>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</si>
  <si>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</si>
  <si>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</si>
  <si>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</si>
  <si>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</si>
  <si>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</si>
  <si>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</si>
  <si>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</si>
  <si>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</si>
  <si>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</si>
  <si>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</si>
  <si>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</si>
  <si>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</si>
  <si>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</si>
  <si>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</si>
  <si>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</si>
  <si>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</si>
  <si>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</si>
  <si>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</si>
  <si>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</si>
  <si>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</si>
  <si>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</si>
  <si>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</si>
  <si>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</si>
  <si>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</si>
  <si>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</si>
  <si>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</si>
  <si>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</si>
  <si>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</si>
  <si>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</si>
  <si>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</si>
  <si>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</si>
  <si>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</si>
  <si>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</si>
  <si>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</si>
  <si>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</si>
  <si>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</si>
  <si>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…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</si>
  <si>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</si>
  <si>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</si>
  <si>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</si>
  <si>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</si>
  <si>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</si>
  <si>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materioales peligrosos en tanques estacionarios</t>
  </si>
  <si>
    <t>Dictámenes de riesgos pagados</t>
  </si>
  <si>
    <t>Ingreso por dictámenes de factibilidad</t>
  </si>
  <si>
    <t>Constancias</t>
  </si>
  <si>
    <t>Constancias Expedidas</t>
  </si>
  <si>
    <t>Constancias Certificadas</t>
  </si>
  <si>
    <t>Constancias No Certificadas</t>
  </si>
  <si>
    <t>Ingreso por Constancias Certificadas</t>
  </si>
  <si>
    <t>Cartas extendidas por los Jueces Auxiliares*</t>
  </si>
  <si>
    <t>Gestoría</t>
  </si>
  <si>
    <t>Gestoría Solicitada</t>
  </si>
  <si>
    <t>Gestoría Resuelta</t>
  </si>
  <si>
    <t>Gestoría en Trámite</t>
  </si>
  <si>
    <t>Call Center</t>
  </si>
  <si>
    <t>Llamadas a Jueces Auxiliares*</t>
  </si>
  <si>
    <t>Área Operativa</t>
  </si>
  <si>
    <t>Cantidad de Jueces Auxiliares Visitados*</t>
  </si>
  <si>
    <t>Proyectos Transversales y Voluntariado</t>
  </si>
  <si>
    <t>ONG´S Registradas</t>
  </si>
  <si>
    <t>Gestiones con Asociaciones Civiles</t>
  </si>
  <si>
    <t>Gestiones con Empresas</t>
  </si>
  <si>
    <t xml:space="preserve">Eventos Realizados en Sinergia con ONG´S </t>
  </si>
  <si>
    <t>Eventos Realizados en Sinergia con Empresas y/o Dependencias Gubernamentales</t>
  </si>
  <si>
    <t xml:space="preserve">*Jueces Auxiliares: cambio de concepto de Delegados Municipales a Jueces Auxiliares debido a la aprobación del Reglamento de Jueces Auxiliares del Municipio de Monterrey, aprobado en el Periódico Aficial del Estado de Nuevo León el 27 de febrero del 2016. </t>
  </si>
  <si>
    <t>Expedición de Pasaportes</t>
  </si>
  <si>
    <t>1 - año</t>
  </si>
  <si>
    <t>3 - años</t>
  </si>
  <si>
    <t xml:space="preserve">6 - años </t>
  </si>
  <si>
    <t xml:space="preserve">10 - años </t>
  </si>
  <si>
    <t>Total de tramites</t>
  </si>
  <si>
    <t>Ingreso por cuota municipal por expedición de pasaportes</t>
  </si>
  <si>
    <t>Ingreso por toma de fotografia</t>
  </si>
  <si>
    <t>Total de ingresos Municipales</t>
  </si>
  <si>
    <t>Reclutamiento</t>
  </si>
  <si>
    <t>Informacion para la inscripción de jovenes al SMN</t>
  </si>
  <si>
    <t>Jovenes que se registraron para su servicio SMN</t>
  </si>
  <si>
    <t>Resello de cartillas con resultados de ultimos sorteos</t>
  </si>
  <si>
    <t>Solicitudes de Servicios Municipales</t>
  </si>
  <si>
    <t>Solicitudes recibidas en CAM Palacio Municipal</t>
  </si>
  <si>
    <t>Solicitudes recibidas en CAM Parque Tucán</t>
  </si>
  <si>
    <t>Solicitudes recibidas en CAM Garza Sada</t>
  </si>
  <si>
    <t>Solicitudes recibidas en CAM Parque Aztlán</t>
  </si>
  <si>
    <t>Solicitudes recibidas en  CAM Alamey</t>
  </si>
  <si>
    <t>Solicitudes recibidas en otras Dependencias</t>
  </si>
  <si>
    <t>Orientaciones Externas</t>
  </si>
  <si>
    <t>Orientaciones externas atendidas en CAM Palacio Municipal</t>
  </si>
  <si>
    <t>Orientaciones externas atendidas en CAM Parque Tucán</t>
  </si>
  <si>
    <t>Orientaciones externas atendidas en CAM Garza Sada</t>
  </si>
  <si>
    <t>Orientaciones externas atendidas en CAM Parque Aztlán</t>
  </si>
  <si>
    <t>Orientaciones externas atendidas en CAM Alamey</t>
  </si>
  <si>
    <t>*CAM: Centro de Atención Municipal</t>
  </si>
  <si>
    <t>Anuencia Municipal para Permisos de Alcoholes</t>
  </si>
  <si>
    <t>Anuencia Municipal para Permisos Especiales No Lucrativos</t>
  </si>
  <si>
    <t>Anuencia Municipal para Permisos Especiales Lucrativos de Alcoholes aprobados por el Ayuntamiento</t>
  </si>
  <si>
    <t xml:space="preserve">             </t>
  </si>
  <si>
    <t>Asuntos Recibidos</t>
  </si>
  <si>
    <t>Amparo</t>
  </si>
  <si>
    <t>Fiscal</t>
  </si>
  <si>
    <t>Penal</t>
  </si>
  <si>
    <t>Civil</t>
  </si>
  <si>
    <t>Mercantil</t>
  </si>
  <si>
    <t>Concencioso Administrativo</t>
  </si>
  <si>
    <t>CEDH</t>
  </si>
  <si>
    <t>Asuntos Concluidos</t>
  </si>
  <si>
    <t>Asuntos a Favor del Municipio</t>
  </si>
  <si>
    <t>Asuntos en Contra del Municipio</t>
  </si>
  <si>
    <t>Revisiones</t>
  </si>
  <si>
    <t>Consultas</t>
  </si>
  <si>
    <t>Contratos</t>
  </si>
  <si>
    <t>Certificaciones</t>
  </si>
  <si>
    <t>Personas Detenidas</t>
  </si>
  <si>
    <t>Centro</t>
  </si>
  <si>
    <t>Norte</t>
  </si>
  <si>
    <t>Sur</t>
  </si>
  <si>
    <t>Personas Consignadas</t>
  </si>
  <si>
    <t>Personas Consignadas - Fuero Común</t>
  </si>
  <si>
    <t>Personas Consignadas - Fuero Federal</t>
  </si>
  <si>
    <t>Revisión y Juntas</t>
  </si>
  <si>
    <t>Procesos y bases de licitación pública (Comité Técnico de Adquisiciones)</t>
  </si>
  <si>
    <t>Juntas del Comité de Adquisiciones, Arren. y Prestación de servicios</t>
  </si>
  <si>
    <t>Procesos de Obras Púb. (Comité de Fallos)</t>
  </si>
  <si>
    <t>Revisión de bases de licitaciones emitidas por la Dir. de Adquisiciones</t>
  </si>
  <si>
    <t>Revisión de actas del Comité Técnico de Adquisiciones.</t>
  </si>
  <si>
    <t>Fortalecimiento del Sistema Juridico Municipal para La Prevención de Controversias</t>
  </si>
  <si>
    <t>No. de Reglamentos Revisados</t>
  </si>
  <si>
    <t>No. de Reglamentos Adecuados</t>
  </si>
  <si>
    <t>Recursos de Inconformidad</t>
  </si>
  <si>
    <t xml:space="preserve">Recursos de Inconformidad Recibidos </t>
  </si>
  <si>
    <t>Notoria Improcedencia</t>
  </si>
  <si>
    <t>Recursos de Inconformidad Concluidos</t>
  </si>
  <si>
    <t>Recursos de Inconformidad a Favor</t>
  </si>
  <si>
    <t>Recursos de Inconformidad en Contra</t>
  </si>
  <si>
    <t>Desistimientos</t>
  </si>
  <si>
    <t>Sobreseídos</t>
  </si>
  <si>
    <t>Audiencias</t>
  </si>
  <si>
    <t>Notificaciones para Admision</t>
  </si>
  <si>
    <t>Notificaciones para Traslado</t>
  </si>
  <si>
    <t>Audiencias Tribunal Contencioso</t>
  </si>
  <si>
    <t>Sesiones Ordinarias realizadas</t>
  </si>
  <si>
    <t>Sesiones Extraordinarias realizadas</t>
  </si>
  <si>
    <t>Sesiones Solemnes realizadas</t>
  </si>
  <si>
    <t>Acuerdos por Unanimidad</t>
  </si>
  <si>
    <t>Acuerdos por Mayoría</t>
  </si>
  <si>
    <t>Total de Acuerdos del Ayuntamiento</t>
  </si>
  <si>
    <t>Gaceta Municipal (Total de Publicaciones)</t>
  </si>
  <si>
    <t>Cantidad de publicaciones realizadas en el período</t>
  </si>
  <si>
    <t>Expedición y/o Reforma a los Reglamentos</t>
  </si>
  <si>
    <t>Asesoría a Comisiones</t>
  </si>
  <si>
    <t>Elaboración de Propuestas de Dictámenes y Puntos de Acuerdo</t>
  </si>
  <si>
    <t>Archivo Histórico</t>
  </si>
  <si>
    <t>Elaboración de Fichas del Archivo Histórico</t>
  </si>
  <si>
    <t>Personas Atendidas en el Archivo Histórico</t>
  </si>
  <si>
    <t>Publicaciones en el Portal del Archivo Histórico</t>
  </si>
  <si>
    <t>Solicitud y/o búsqueda de documentos, copias simples y/o certificadas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</si>
</sst>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164" formatCode="0.0"/>
    <numFmt numFmtId="165" formatCode="_(&quot;$&quot;* #,##0.00_);_(&quot;$&quot;* \(#,##0.00\);_(&quot;$&quot;* &quot;-&quot;??_);_(@_)"/>
    <numFmt numFmtId="166" formatCode="_-&quot;$&quot;* #,##0.00_-;\-&quot;$&quot;* #,##0.00_-;_-&quot;$&quot;* &quot;-&quot;??_-;_-@"/>
    <numFmt numFmtId="167" formatCode="&quot;$&quot;#,##0"/>
    <numFmt numFmtId="168" formatCode="&quot;$&quot;#,##0.00"/>
    <numFmt numFmtId="169" formatCode="_(&quot;$&quot;* #,##0_);_(&quot;$&quot;* \(#,##0\);_(&quot;$&quot;* &quot;-&quot;??_);_(@_)"/>
    <numFmt numFmtId="170" formatCode="_-&quot;$&quot;* #,##0_-;\-&quot;$&quot;* #,##0_-;_-&quot;$&quot;* &quot;-&quot;_-;_-@"/>
  </numFmts>
  <fonts count="14" x14ac:knownFonts="1">
    <font>
      <sz val="11"/>
      <color rgb="FF000000"/>
      <name val="Calibri"/>
    </font>
    <font>
      <sz val="20"/>
      <color rgb="FF000000"/>
      <name val="Cambria"/>
      <family val="1"/>
    </font>
    <font>
      <sz val="11"/>
      <name val="Calibri"/>
      <family val="2"/>
    </font>
    <font>
      <b/>
      <sz val="16"/>
      <name val="Cambria"/>
      <family val="1"/>
    </font>
    <font>
      <sz val="11"/>
      <color rgb="FFFFFFFF"/>
      <name val="Cambria"/>
      <family val="1"/>
    </font>
    <font>
      <sz val="12"/>
      <color rgb="FF000000"/>
      <name val="Cambria"/>
      <family val="1"/>
    </font>
    <font>
      <sz val="12"/>
      <name val="Cambria"/>
      <family val="1"/>
    </font>
    <font>
      <b/>
      <sz val="12"/>
      <color rgb="FF000000"/>
      <name val="Cambria"/>
      <family val="1"/>
    </font>
    <font>
      <sz val="10"/>
      <name val="Cambria"/>
      <family val="1"/>
    </font>
    <font>
      <b/>
      <sz val="10"/>
      <name val="Cambria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2"/>
      <name val="Cambria"/>
      <family val="1"/>
      <scheme val="major"/>
    </font>
    <font>
      <sz val="11"/>
      <color theme="0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95959"/>
        <bgColor rgb="FF595959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0" fontId="11" fillId="0" borderId="10"/>
    <xf numFmtId="0" fontId="11" fillId="0" borderId="10"/>
  </cellStyleXfs>
  <cellXfs count="69">
    <xf numFmtId="0" fontId="0" fillId="0" borderId="0" xfId="0" applyFont="1" applyAlignment="1"/>
    <xf numFmtId="49" fontId="4" fillId="3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4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/>
    <xf numFmtId="16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 wrapText="1"/>
    </xf>
    <xf numFmtId="165" fontId="6" fillId="4" borderId="4" xfId="0" applyNumberFormat="1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165" fontId="6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5" fillId="4" borderId="4" xfId="0" applyNumberFormat="1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3" fontId="9" fillId="4" borderId="4" xfId="0" applyNumberFormat="1" applyFont="1" applyFill="1" applyBorder="1" applyAlignment="1">
      <alignment horizontal="center" vertical="center" wrapText="1"/>
    </xf>
    <xf numFmtId="166" fontId="6" fillId="2" borderId="4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66" fontId="8" fillId="2" borderId="4" xfId="0" applyNumberFormat="1" applyFont="1" applyFill="1" applyBorder="1" applyAlignment="1">
      <alignment horizontal="center" vertical="center" wrapText="1"/>
    </xf>
    <xf numFmtId="166" fontId="6" fillId="4" borderId="4" xfId="0" applyNumberFormat="1" applyFont="1" applyFill="1" applyBorder="1" applyAlignment="1">
      <alignment horizontal="center" vertical="center" wrapText="1"/>
    </xf>
    <xf numFmtId="165" fontId="8" fillId="4" borderId="4" xfId="0" applyNumberFormat="1" applyFont="1" applyFill="1" applyBorder="1" applyAlignment="1">
      <alignment horizontal="center" vertical="center" wrapText="1"/>
    </xf>
    <xf numFmtId="166" fontId="8" fillId="4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167" fontId="6" fillId="2" borderId="4" xfId="0" applyNumberFormat="1" applyFont="1" applyFill="1" applyBorder="1" applyAlignment="1">
      <alignment horizontal="center" vertical="center" wrapText="1"/>
    </xf>
    <xf numFmtId="168" fontId="6" fillId="2" borderId="4" xfId="0" applyNumberFormat="1" applyFont="1" applyFill="1" applyBorder="1" applyAlignment="1">
      <alignment horizontal="center" vertical="center" wrapText="1"/>
    </xf>
    <xf numFmtId="169" fontId="6" fillId="2" borderId="4" xfId="0" applyNumberFormat="1" applyFont="1" applyFill="1" applyBorder="1" applyAlignment="1">
      <alignment horizontal="center" vertical="center" wrapText="1"/>
    </xf>
    <xf numFmtId="167" fontId="6" fillId="0" borderId="4" xfId="0" applyNumberFormat="1" applyFont="1" applyBorder="1" applyAlignment="1">
      <alignment horizontal="center" vertical="center" wrapText="1"/>
    </xf>
    <xf numFmtId="169" fontId="6" fillId="4" borderId="4" xfId="0" applyNumberFormat="1" applyFont="1" applyFill="1" applyBorder="1" applyAlignment="1">
      <alignment horizontal="center" vertical="center" wrapText="1"/>
    </xf>
    <xf numFmtId="167" fontId="6" fillId="4" borderId="4" xfId="0" applyNumberFormat="1" applyFont="1" applyFill="1" applyBorder="1" applyAlignment="1">
      <alignment horizontal="center" vertical="center" wrapText="1"/>
    </xf>
    <xf numFmtId="170" fontId="6" fillId="4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" fontId="12" fillId="5" borderId="11" xfId="2" applyNumberFormat="1" applyFont="1" applyFill="1" applyBorder="1" applyAlignment="1">
      <alignment horizontal="center" vertical="center" wrapText="1"/>
    </xf>
    <xf numFmtId="49" fontId="13" fillId="6" borderId="11" xfId="3" applyNumberFormat="1" applyFont="1" applyFill="1" applyBorder="1" applyAlignment="1" applyProtection="1">
      <alignment horizontal="center" vertical="center" wrapText="1"/>
    </xf>
    <xf numFmtId="3" fontId="12" fillId="7" borderId="11" xfId="2" applyNumberFormat="1" applyFont="1" applyFill="1" applyBorder="1" applyAlignment="1">
      <alignment horizontal="center" vertical="center" wrapText="1"/>
    </xf>
    <xf numFmtId="167" fontId="12" fillId="5" borderId="11" xfId="1" applyNumberFormat="1" applyFont="1" applyFill="1" applyBorder="1" applyAlignment="1">
      <alignment horizontal="center" vertical="center" wrapText="1"/>
    </xf>
    <xf numFmtId="167" fontId="12" fillId="7" borderId="11" xfId="1" applyNumberFormat="1" applyFont="1" applyFill="1" applyBorder="1" applyAlignment="1">
      <alignment horizontal="center" vertical="center" wrapText="1"/>
    </xf>
    <xf numFmtId="3" fontId="12" fillId="0" borderId="11" xfId="2" applyNumberFormat="1" applyFont="1" applyFill="1" applyBorder="1" applyAlignment="1">
      <alignment horizontal="center" vertical="center" wrapText="1"/>
    </xf>
    <xf numFmtId="165" fontId="12" fillId="0" borderId="11" xfId="1" applyNumberFormat="1" applyFont="1" applyFill="1" applyBorder="1" applyAlignment="1">
      <alignment horizontal="center" vertical="center" wrapText="1"/>
    </xf>
    <xf numFmtId="165" fontId="12" fillId="7" borderId="11" xfId="1" applyNumberFormat="1" applyFont="1" applyFill="1" applyBorder="1" applyAlignment="1">
      <alignment horizontal="center" vertical="center" wrapText="1"/>
    </xf>
    <xf numFmtId="44" fontId="12" fillId="0" borderId="11" xfId="1" applyFont="1" applyFill="1" applyBorder="1" applyAlignment="1">
      <alignment horizontal="center" vertical="center" wrapText="1"/>
    </xf>
    <xf numFmtId="168" fontId="12" fillId="5" borderId="11" xfId="1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</cellXfs>
  <cellStyles count="4"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620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620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62050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62050"/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62050"/>
    <xdr:pic>
      <xdr:nvPicPr>
        <xdr:cNvPr id="2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62050"/>
    <xdr:pic>
      <xdr:nvPicPr>
        <xdr:cNvPr id="2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62050"/>
    <xdr:pic>
      <xdr:nvPicPr>
        <xdr:cNvPr id="2" name="image7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62050"/>
    <xdr:pic>
      <xdr:nvPicPr>
        <xdr:cNvPr id="2" name="image8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62050"/>
    <xdr:pic>
      <xdr:nvPicPr>
        <xdr:cNvPr id="2" name="image9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>
      <selection activeCell="I26" sqref="I26"/>
    </sheetView>
  </sheetViews>
  <sheetFormatPr baseColWidth="10" defaultColWidth="14.42578125" defaultRowHeight="15" customHeight="1" x14ac:dyDescent="0.25"/>
  <cols>
    <col min="1" max="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BF8F"/>
    <pageSetUpPr fitToPage="1"/>
  </sheetPr>
  <dimension ref="A1:O100"/>
  <sheetViews>
    <sheetView topLeftCell="F79" workbookViewId="0">
      <selection activeCell="N4" sqref="N4:N86"/>
    </sheetView>
  </sheetViews>
  <sheetFormatPr baseColWidth="10" defaultColWidth="14.42578125" defaultRowHeight="15" customHeight="1" x14ac:dyDescent="0.25"/>
  <cols>
    <col min="1" max="1" width="8.42578125" customWidth="1"/>
    <col min="2" max="2" width="34.28515625" customWidth="1"/>
    <col min="3" max="3" width="13.5703125" customWidth="1"/>
    <col min="4" max="4" width="14.42578125" customWidth="1"/>
    <col min="5" max="5" width="14.7109375" customWidth="1"/>
    <col min="6" max="6" width="14.140625" customWidth="1"/>
    <col min="7" max="7" width="15.85546875" customWidth="1"/>
    <col min="8" max="8" width="11.5703125" customWidth="1"/>
    <col min="9" max="9" width="11.7109375" customWidth="1"/>
    <col min="10" max="10" width="13.42578125" customWidth="1"/>
    <col min="11" max="11" width="17.42578125" customWidth="1"/>
    <col min="12" max="12" width="14.42578125" customWidth="1"/>
    <col min="13" max="13" width="17.28515625" customWidth="1"/>
    <col min="14" max="14" width="16.42578125" customWidth="1"/>
    <col min="15" max="15" width="14.7109375" customWidth="1"/>
  </cols>
  <sheetData>
    <row r="1" spans="1:15" ht="32.25" customHeight="1" x14ac:dyDescent="0.25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32.25" customHeight="1" x14ac:dyDescent="0.25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1:15" ht="39.75" customHeight="1" x14ac:dyDescent="0.25">
      <c r="A3" s="63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</row>
    <row r="4" spans="1:15" ht="40.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30" customHeight="1" x14ac:dyDescent="0.25">
      <c r="A5" s="1">
        <v>1</v>
      </c>
      <c r="B5" s="1" t="s">
        <v>214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3" customHeight="1" x14ac:dyDescent="0.25">
      <c r="A6" s="10">
        <f t="shared" ref="A6:A12" si="0">+A5+0.1</f>
        <v>1.1000000000000001</v>
      </c>
      <c r="B6" s="3" t="s">
        <v>215</v>
      </c>
      <c r="C6" s="4">
        <f>27+1</f>
        <v>28</v>
      </c>
      <c r="D6" s="4">
        <f>1+20</f>
        <v>21</v>
      </c>
      <c r="E6" s="4">
        <f>20</f>
        <v>20</v>
      </c>
      <c r="F6" s="4">
        <f>4</f>
        <v>4</v>
      </c>
      <c r="G6" s="4">
        <v>5</v>
      </c>
      <c r="H6" s="4">
        <v>4</v>
      </c>
      <c r="I6" s="4">
        <f>6</f>
        <v>6</v>
      </c>
      <c r="J6" s="4">
        <v>16</v>
      </c>
      <c r="K6" s="4">
        <f>1+10</f>
        <v>11</v>
      </c>
      <c r="L6" s="47">
        <f>18</f>
        <v>18</v>
      </c>
      <c r="M6" s="4">
        <f>11</f>
        <v>11</v>
      </c>
      <c r="N6" s="4">
        <f>2+1</f>
        <v>3</v>
      </c>
      <c r="O6" s="5">
        <f t="shared" ref="O6:O12" si="1">SUM(C6:N6)</f>
        <v>147</v>
      </c>
    </row>
    <row r="7" spans="1:15" ht="33" customHeight="1" x14ac:dyDescent="0.25">
      <c r="A7" s="10">
        <f t="shared" si="0"/>
        <v>1.2000000000000002</v>
      </c>
      <c r="B7" s="3" t="s">
        <v>216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7">
        <v>0</v>
      </c>
      <c r="M7" s="4">
        <v>0</v>
      </c>
      <c r="N7" s="4">
        <v>0</v>
      </c>
      <c r="O7" s="5">
        <f t="shared" si="1"/>
        <v>0</v>
      </c>
    </row>
    <row r="8" spans="1:15" ht="33" customHeight="1" x14ac:dyDescent="0.25">
      <c r="A8" s="10">
        <f t="shared" si="0"/>
        <v>1.3000000000000003</v>
      </c>
      <c r="B8" s="3" t="s">
        <v>217</v>
      </c>
      <c r="C8" s="4">
        <f>2</f>
        <v>2</v>
      </c>
      <c r="D8" s="4">
        <f>5</f>
        <v>5</v>
      </c>
      <c r="E8" s="4">
        <f t="shared" ref="E8:F8" si="2">2</f>
        <v>2</v>
      </c>
      <c r="F8" s="4">
        <f t="shared" si="2"/>
        <v>2</v>
      </c>
      <c r="G8" s="4">
        <v>9</v>
      </c>
      <c r="H8" s="4">
        <v>10</v>
      </c>
      <c r="I8" s="4">
        <f>12</f>
        <v>12</v>
      </c>
      <c r="J8" s="4">
        <v>9</v>
      </c>
      <c r="K8" s="4">
        <f>7</f>
        <v>7</v>
      </c>
      <c r="L8" s="47">
        <f>10</f>
        <v>10</v>
      </c>
      <c r="M8" s="4">
        <f>5</f>
        <v>5</v>
      </c>
      <c r="N8" s="4">
        <f>1</f>
        <v>1</v>
      </c>
      <c r="O8" s="5">
        <f t="shared" si="1"/>
        <v>74</v>
      </c>
    </row>
    <row r="9" spans="1:15" ht="33" customHeight="1" x14ac:dyDescent="0.25">
      <c r="A9" s="10">
        <f t="shared" si="0"/>
        <v>1.4000000000000004</v>
      </c>
      <c r="B9" s="3" t="s">
        <v>218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7">
        <v>0</v>
      </c>
      <c r="M9" s="4">
        <v>0</v>
      </c>
      <c r="N9" s="4">
        <v>0</v>
      </c>
      <c r="O9" s="5">
        <f t="shared" si="1"/>
        <v>0</v>
      </c>
    </row>
    <row r="10" spans="1:15" ht="33" customHeight="1" x14ac:dyDescent="0.25">
      <c r="A10" s="10">
        <f t="shared" si="0"/>
        <v>1.5000000000000004</v>
      </c>
      <c r="B10" s="3" t="s">
        <v>219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7">
        <v>0</v>
      </c>
      <c r="M10" s="4">
        <v>0</v>
      </c>
      <c r="N10" s="4">
        <v>0</v>
      </c>
      <c r="O10" s="5">
        <f t="shared" si="1"/>
        <v>0</v>
      </c>
    </row>
    <row r="11" spans="1:15" ht="33" customHeight="1" x14ac:dyDescent="0.25">
      <c r="A11" s="10">
        <f t="shared" si="0"/>
        <v>1.6000000000000005</v>
      </c>
      <c r="B11" s="3" t="s">
        <v>220</v>
      </c>
      <c r="C11" s="4">
        <f>2+1096+6+4</f>
        <v>1108</v>
      </c>
      <c r="D11" s="4">
        <f>15+5+697+3</f>
        <v>720</v>
      </c>
      <c r="E11" s="4">
        <f>3+379+4+3</f>
        <v>389</v>
      </c>
      <c r="F11" s="4">
        <v>0</v>
      </c>
      <c r="G11" s="4">
        <v>0</v>
      </c>
      <c r="H11" s="4">
        <v>0</v>
      </c>
      <c r="I11" s="4">
        <f>18+1</f>
        <v>19</v>
      </c>
      <c r="J11" s="4">
        <v>758</v>
      </c>
      <c r="K11" s="4">
        <f>7+505+6</f>
        <v>518</v>
      </c>
      <c r="L11" s="47">
        <f>573+5+9+4</f>
        <v>591</v>
      </c>
      <c r="M11" s="4">
        <f>9+598+8+6</f>
        <v>621</v>
      </c>
      <c r="N11" s="4">
        <f>283+4+1+3</f>
        <v>291</v>
      </c>
      <c r="O11" s="5">
        <f t="shared" si="1"/>
        <v>5015</v>
      </c>
    </row>
    <row r="12" spans="1:15" ht="33" customHeight="1" x14ac:dyDescent="0.25">
      <c r="A12" s="10">
        <f t="shared" si="0"/>
        <v>1.7000000000000006</v>
      </c>
      <c r="B12" s="3" t="s">
        <v>221</v>
      </c>
      <c r="C12" s="4">
        <v>11</v>
      </c>
      <c r="D12" s="4">
        <v>7</v>
      </c>
      <c r="E12" s="4">
        <v>10</v>
      </c>
      <c r="F12" s="4">
        <v>3</v>
      </c>
      <c r="G12" s="4">
        <v>17</v>
      </c>
      <c r="H12" s="4">
        <v>3</v>
      </c>
      <c r="I12" s="4">
        <v>11</v>
      </c>
      <c r="J12" s="4">
        <v>14</v>
      </c>
      <c r="K12" s="9">
        <f>5</f>
        <v>5</v>
      </c>
      <c r="L12" s="47">
        <f>14</f>
        <v>14</v>
      </c>
      <c r="M12" s="4">
        <v>15</v>
      </c>
      <c r="N12" s="9">
        <f>3</f>
        <v>3</v>
      </c>
      <c r="O12" s="5">
        <f t="shared" si="1"/>
        <v>113</v>
      </c>
    </row>
    <row r="13" spans="1:15" ht="30" customHeight="1" x14ac:dyDescent="0.25">
      <c r="A13" s="1">
        <f>+A5+1</f>
        <v>2</v>
      </c>
      <c r="B13" s="1" t="s">
        <v>222</v>
      </c>
      <c r="C13" s="1"/>
      <c r="D13" s="1"/>
      <c r="E13" s="1"/>
      <c r="F13" s="1"/>
      <c r="G13" s="1"/>
      <c r="H13" s="1"/>
      <c r="I13" s="1"/>
      <c r="J13" s="1"/>
      <c r="K13" s="1"/>
      <c r="L13" s="48"/>
      <c r="M13" s="1"/>
      <c r="N13" s="1"/>
      <c r="O13" s="1"/>
    </row>
    <row r="14" spans="1:15" ht="33" customHeight="1" x14ac:dyDescent="0.25">
      <c r="A14" s="10">
        <f t="shared" ref="A14:A20" si="3">+A13+0.1</f>
        <v>2.1</v>
      </c>
      <c r="B14" s="3" t="s">
        <v>215</v>
      </c>
      <c r="C14" s="4">
        <f>12+5</f>
        <v>17</v>
      </c>
      <c r="D14" s="4">
        <f>5+17</f>
        <v>22</v>
      </c>
      <c r="E14" s="4">
        <f>7</f>
        <v>7</v>
      </c>
      <c r="F14" s="4">
        <v>0</v>
      </c>
      <c r="G14" s="4">
        <v>0</v>
      </c>
      <c r="H14" s="4">
        <v>0</v>
      </c>
      <c r="I14" s="4">
        <v>0</v>
      </c>
      <c r="J14" s="4">
        <v>13</v>
      </c>
      <c r="K14" s="4">
        <f>1</f>
        <v>1</v>
      </c>
      <c r="L14" s="47">
        <f>7</f>
        <v>7</v>
      </c>
      <c r="M14" s="4">
        <f>1</f>
        <v>1</v>
      </c>
      <c r="N14" s="4">
        <f>1</f>
        <v>1</v>
      </c>
      <c r="O14" s="5">
        <f t="shared" ref="O14:O20" si="4">SUM(C14:N14)</f>
        <v>69</v>
      </c>
    </row>
    <row r="15" spans="1:15" ht="33" customHeight="1" x14ac:dyDescent="0.25">
      <c r="A15" s="10">
        <f t="shared" si="3"/>
        <v>2.2000000000000002</v>
      </c>
      <c r="B15" s="3" t="s">
        <v>216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7">
        <v>0</v>
      </c>
      <c r="M15" s="47">
        <v>0</v>
      </c>
      <c r="N15" s="47">
        <v>0</v>
      </c>
      <c r="O15" s="5">
        <f t="shared" si="4"/>
        <v>0</v>
      </c>
    </row>
    <row r="16" spans="1:15" ht="33" customHeight="1" x14ac:dyDescent="0.25">
      <c r="A16" s="10">
        <f t="shared" si="3"/>
        <v>2.3000000000000003</v>
      </c>
      <c r="B16" s="3" t="s">
        <v>217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7">
        <v>0</v>
      </c>
      <c r="M16" s="47">
        <v>0</v>
      </c>
      <c r="N16" s="47">
        <v>0</v>
      </c>
      <c r="O16" s="5">
        <f t="shared" si="4"/>
        <v>0</v>
      </c>
    </row>
    <row r="17" spans="1:15" ht="33" customHeight="1" x14ac:dyDescent="0.25">
      <c r="A17" s="10">
        <f t="shared" si="3"/>
        <v>2.4000000000000004</v>
      </c>
      <c r="B17" s="3" t="s">
        <v>218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7">
        <v>0</v>
      </c>
      <c r="M17" s="47">
        <v>0</v>
      </c>
      <c r="N17" s="47">
        <v>0</v>
      </c>
      <c r="O17" s="5">
        <f t="shared" si="4"/>
        <v>0</v>
      </c>
    </row>
    <row r="18" spans="1:15" ht="33" customHeight="1" x14ac:dyDescent="0.25">
      <c r="A18" s="10">
        <f t="shared" si="3"/>
        <v>2.5000000000000004</v>
      </c>
      <c r="B18" s="3" t="s">
        <v>219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7">
        <v>0</v>
      </c>
      <c r="M18" s="47">
        <v>0</v>
      </c>
      <c r="N18" s="47">
        <v>0</v>
      </c>
      <c r="O18" s="5">
        <f t="shared" si="4"/>
        <v>0</v>
      </c>
    </row>
    <row r="19" spans="1:15" ht="33" customHeight="1" x14ac:dyDescent="0.25">
      <c r="A19" s="10">
        <f t="shared" si="3"/>
        <v>2.6000000000000005</v>
      </c>
      <c r="B19" s="3" t="s">
        <v>220</v>
      </c>
      <c r="C19" s="4">
        <f>12+2</f>
        <v>14</v>
      </c>
      <c r="D19" s="4">
        <f>1+2+20</f>
        <v>23</v>
      </c>
      <c r="E19" s="4">
        <f>13+2</f>
        <v>15</v>
      </c>
      <c r="F19" s="4">
        <v>0</v>
      </c>
      <c r="G19" s="4">
        <v>0</v>
      </c>
      <c r="H19" s="4">
        <v>0</v>
      </c>
      <c r="I19" s="4">
        <f>3</f>
        <v>3</v>
      </c>
      <c r="J19" s="4">
        <v>30</v>
      </c>
      <c r="K19" s="4">
        <f>3+13</f>
        <v>16</v>
      </c>
      <c r="L19" s="47">
        <f>14+1+1</f>
        <v>16</v>
      </c>
      <c r="M19" s="4">
        <f>2+6</f>
        <v>8</v>
      </c>
      <c r="N19" s="4">
        <f>13</f>
        <v>13</v>
      </c>
      <c r="O19" s="5">
        <f t="shared" si="4"/>
        <v>138</v>
      </c>
    </row>
    <row r="20" spans="1:15" ht="33" customHeight="1" x14ac:dyDescent="0.25">
      <c r="A20" s="10">
        <f t="shared" si="3"/>
        <v>2.7000000000000006</v>
      </c>
      <c r="B20" s="3" t="s">
        <v>221</v>
      </c>
      <c r="C20" s="4">
        <v>1</v>
      </c>
      <c r="D20" s="4">
        <v>6</v>
      </c>
      <c r="E20" s="4">
        <v>1</v>
      </c>
      <c r="F20" s="4">
        <v>0</v>
      </c>
      <c r="G20" s="4">
        <v>2</v>
      </c>
      <c r="H20" s="4">
        <v>1</v>
      </c>
      <c r="I20" s="4">
        <v>1</v>
      </c>
      <c r="J20" s="4">
        <v>2</v>
      </c>
      <c r="K20" s="9">
        <v>5</v>
      </c>
      <c r="L20" s="47">
        <f>1</f>
        <v>1</v>
      </c>
      <c r="M20" s="4">
        <v>2</v>
      </c>
      <c r="N20" s="9">
        <f>2</f>
        <v>2</v>
      </c>
      <c r="O20" s="5">
        <f t="shared" si="4"/>
        <v>24</v>
      </c>
    </row>
    <row r="21" spans="1:15" ht="30" customHeight="1" x14ac:dyDescent="0.25">
      <c r="A21" s="1">
        <f>+A13+1</f>
        <v>3</v>
      </c>
      <c r="B21" s="1" t="s">
        <v>223</v>
      </c>
      <c r="C21" s="1"/>
      <c r="D21" s="1"/>
      <c r="E21" s="1"/>
      <c r="F21" s="1"/>
      <c r="G21" s="1"/>
      <c r="H21" s="1"/>
      <c r="I21" s="1"/>
      <c r="J21" s="1"/>
      <c r="K21" s="1"/>
      <c r="L21" s="48"/>
      <c r="M21" s="1"/>
      <c r="N21" s="1"/>
      <c r="O21" s="1"/>
    </row>
    <row r="22" spans="1:15" ht="33" customHeight="1" x14ac:dyDescent="0.25">
      <c r="A22" s="10">
        <f t="shared" ref="A22:A28" si="5">+A21+0.1</f>
        <v>3.1</v>
      </c>
      <c r="B22" s="3" t="s">
        <v>215</v>
      </c>
      <c r="C22" s="4">
        <f>2</f>
        <v>2</v>
      </c>
      <c r="D22" s="4">
        <f>2+3</f>
        <v>5</v>
      </c>
      <c r="E22" s="4">
        <f>3</f>
        <v>3</v>
      </c>
      <c r="F22" s="4">
        <v>0</v>
      </c>
      <c r="G22" s="4">
        <v>0</v>
      </c>
      <c r="H22" s="4">
        <v>0</v>
      </c>
      <c r="I22" s="4">
        <v>0</v>
      </c>
      <c r="J22" s="4">
        <v>1</v>
      </c>
      <c r="K22" s="4">
        <v>0</v>
      </c>
      <c r="L22" s="47">
        <f>3</f>
        <v>3</v>
      </c>
      <c r="M22" s="4">
        <v>0</v>
      </c>
      <c r="N22" s="4">
        <f>1</f>
        <v>1</v>
      </c>
      <c r="O22" s="5">
        <f t="shared" ref="O22:O28" si="6">SUM(C22:N22)</f>
        <v>15</v>
      </c>
    </row>
    <row r="23" spans="1:15" ht="33" customHeight="1" x14ac:dyDescent="0.25">
      <c r="A23" s="10">
        <f t="shared" si="5"/>
        <v>3.2</v>
      </c>
      <c r="B23" s="3" t="s">
        <v>216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7">
        <v>0</v>
      </c>
      <c r="M23" s="47">
        <v>0</v>
      </c>
      <c r="N23" s="47">
        <v>0</v>
      </c>
      <c r="O23" s="5">
        <f t="shared" si="6"/>
        <v>0</v>
      </c>
    </row>
    <row r="24" spans="1:15" ht="33" customHeight="1" x14ac:dyDescent="0.25">
      <c r="A24" s="10">
        <f t="shared" si="5"/>
        <v>3.3000000000000003</v>
      </c>
      <c r="B24" s="3" t="s">
        <v>217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7">
        <v>0</v>
      </c>
      <c r="M24" s="47">
        <v>0</v>
      </c>
      <c r="N24" s="47">
        <v>0</v>
      </c>
      <c r="O24" s="5">
        <f t="shared" si="6"/>
        <v>0</v>
      </c>
    </row>
    <row r="25" spans="1:15" ht="33" customHeight="1" x14ac:dyDescent="0.25">
      <c r="A25" s="10">
        <f t="shared" si="5"/>
        <v>3.4000000000000004</v>
      </c>
      <c r="B25" s="3" t="s">
        <v>218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7">
        <v>0</v>
      </c>
      <c r="M25" s="47">
        <v>0</v>
      </c>
      <c r="N25" s="47">
        <v>0</v>
      </c>
      <c r="O25" s="5">
        <f t="shared" si="6"/>
        <v>0</v>
      </c>
    </row>
    <row r="26" spans="1:15" ht="33" customHeight="1" x14ac:dyDescent="0.25">
      <c r="A26" s="10">
        <f t="shared" si="5"/>
        <v>3.5000000000000004</v>
      </c>
      <c r="B26" s="3" t="s">
        <v>219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7">
        <v>0</v>
      </c>
      <c r="M26" s="47">
        <v>0</v>
      </c>
      <c r="N26" s="47">
        <v>0</v>
      </c>
      <c r="O26" s="5">
        <f t="shared" si="6"/>
        <v>0</v>
      </c>
    </row>
    <row r="27" spans="1:15" ht="33" customHeight="1" x14ac:dyDescent="0.25">
      <c r="A27" s="10">
        <f t="shared" si="5"/>
        <v>3.6000000000000005</v>
      </c>
      <c r="B27" s="3" t="s">
        <v>220</v>
      </c>
      <c r="C27" s="4">
        <f>5+3</f>
        <v>8</v>
      </c>
      <c r="D27" s="4">
        <f>1+2+8</f>
        <v>11</v>
      </c>
      <c r="E27" s="4">
        <f>1+1</f>
        <v>2</v>
      </c>
      <c r="F27" s="4">
        <v>0</v>
      </c>
      <c r="G27" s="4">
        <v>0</v>
      </c>
      <c r="H27" s="4">
        <v>0</v>
      </c>
      <c r="I27" s="4">
        <v>0</v>
      </c>
      <c r="J27" s="4">
        <v>23</v>
      </c>
      <c r="K27" s="4">
        <f>6</f>
        <v>6</v>
      </c>
      <c r="L27" s="47">
        <f>5+1+1</f>
        <v>7</v>
      </c>
      <c r="M27" s="4">
        <f>1</f>
        <v>1</v>
      </c>
      <c r="N27" s="4">
        <f>1+4</f>
        <v>5</v>
      </c>
      <c r="O27" s="5">
        <f t="shared" si="6"/>
        <v>63</v>
      </c>
    </row>
    <row r="28" spans="1:15" ht="33" customHeight="1" x14ac:dyDescent="0.25">
      <c r="A28" s="10">
        <f t="shared" si="5"/>
        <v>3.7000000000000006</v>
      </c>
      <c r="B28" s="3" t="s">
        <v>221</v>
      </c>
      <c r="C28" s="4">
        <v>1</v>
      </c>
      <c r="D28" s="4">
        <v>6</v>
      </c>
      <c r="E28" s="4">
        <v>1</v>
      </c>
      <c r="F28" s="4">
        <v>0</v>
      </c>
      <c r="G28" s="4">
        <v>2</v>
      </c>
      <c r="H28" s="4">
        <v>1</v>
      </c>
      <c r="I28" s="4">
        <v>1</v>
      </c>
      <c r="J28" s="4">
        <v>2</v>
      </c>
      <c r="K28" s="9">
        <v>0</v>
      </c>
      <c r="L28" s="47">
        <f>1</f>
        <v>1</v>
      </c>
      <c r="M28" s="4">
        <v>2</v>
      </c>
      <c r="N28" s="9">
        <f>2</f>
        <v>2</v>
      </c>
      <c r="O28" s="5">
        <f t="shared" si="6"/>
        <v>19</v>
      </c>
    </row>
    <row r="29" spans="1:15" ht="30" customHeight="1" x14ac:dyDescent="0.25">
      <c r="A29" s="1">
        <f>+A21+1</f>
        <v>4</v>
      </c>
      <c r="B29" s="1" t="s">
        <v>224</v>
      </c>
      <c r="C29" s="1"/>
      <c r="D29" s="1"/>
      <c r="E29" s="1"/>
      <c r="F29" s="1"/>
      <c r="G29" s="1"/>
      <c r="H29" s="1"/>
      <c r="I29" s="1"/>
      <c r="J29" s="1"/>
      <c r="K29" s="1"/>
      <c r="L29" s="48"/>
      <c r="M29" s="1"/>
      <c r="N29" s="1"/>
      <c r="O29" s="1"/>
    </row>
    <row r="30" spans="1:15" ht="33" customHeight="1" x14ac:dyDescent="0.25">
      <c r="A30" s="10">
        <f t="shared" ref="A30:A36" si="7">+A29+0.1</f>
        <v>4.0999999999999996</v>
      </c>
      <c r="B30" s="3" t="s">
        <v>215</v>
      </c>
      <c r="C30" s="4">
        <f>10+1</f>
        <v>11</v>
      </c>
      <c r="D30" s="4">
        <f>3+14</f>
        <v>17</v>
      </c>
      <c r="E30" s="4">
        <f>4</f>
        <v>4</v>
      </c>
      <c r="F30" s="4">
        <v>0</v>
      </c>
      <c r="G30" s="4">
        <v>0</v>
      </c>
      <c r="H30" s="4">
        <v>0</v>
      </c>
      <c r="I30" s="4">
        <v>0</v>
      </c>
      <c r="J30" s="4">
        <v>12</v>
      </c>
      <c r="K30" s="4">
        <v>0</v>
      </c>
      <c r="L30" s="47">
        <f>4</f>
        <v>4</v>
      </c>
      <c r="M30" s="4">
        <f>1</f>
        <v>1</v>
      </c>
      <c r="N30" s="4">
        <v>0</v>
      </c>
      <c r="O30" s="5">
        <f t="shared" ref="O30:O36" si="8">SUM(C30:N30)</f>
        <v>49</v>
      </c>
    </row>
    <row r="31" spans="1:15" ht="33" customHeight="1" x14ac:dyDescent="0.25">
      <c r="A31" s="10">
        <f t="shared" si="7"/>
        <v>4.1999999999999993</v>
      </c>
      <c r="B31" s="3" t="s">
        <v>216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7">
        <v>0</v>
      </c>
      <c r="M31" s="47">
        <v>0</v>
      </c>
      <c r="N31" s="47">
        <v>0</v>
      </c>
      <c r="O31" s="5">
        <f t="shared" si="8"/>
        <v>0</v>
      </c>
    </row>
    <row r="32" spans="1:15" ht="33" customHeight="1" x14ac:dyDescent="0.25">
      <c r="A32" s="10">
        <f t="shared" si="7"/>
        <v>4.2999999999999989</v>
      </c>
      <c r="B32" s="3" t="s">
        <v>217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7">
        <v>0</v>
      </c>
      <c r="M32" s="47">
        <v>0</v>
      </c>
      <c r="N32" s="47">
        <v>0</v>
      </c>
      <c r="O32" s="5">
        <f t="shared" si="8"/>
        <v>0</v>
      </c>
    </row>
    <row r="33" spans="1:15" ht="33" customHeight="1" x14ac:dyDescent="0.25">
      <c r="A33" s="10">
        <f t="shared" si="7"/>
        <v>4.3999999999999986</v>
      </c>
      <c r="B33" s="3" t="s">
        <v>218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7">
        <v>0</v>
      </c>
      <c r="M33" s="47">
        <v>0</v>
      </c>
      <c r="N33" s="47">
        <v>0</v>
      </c>
      <c r="O33" s="5">
        <f t="shared" si="8"/>
        <v>0</v>
      </c>
    </row>
    <row r="34" spans="1:15" ht="33" customHeight="1" x14ac:dyDescent="0.25">
      <c r="A34" s="10">
        <f t="shared" si="7"/>
        <v>4.4999999999999982</v>
      </c>
      <c r="B34" s="3" t="s">
        <v>219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7">
        <v>0</v>
      </c>
      <c r="M34" s="47">
        <v>0</v>
      </c>
      <c r="N34" s="47">
        <v>0</v>
      </c>
      <c r="O34" s="5">
        <f t="shared" si="8"/>
        <v>0</v>
      </c>
    </row>
    <row r="35" spans="1:15" ht="33" customHeight="1" x14ac:dyDescent="0.25">
      <c r="A35" s="10">
        <f t="shared" si="7"/>
        <v>4.5999999999999979</v>
      </c>
      <c r="B35" s="3" t="s">
        <v>220</v>
      </c>
      <c r="C35" s="4">
        <f>7</f>
        <v>7</v>
      </c>
      <c r="D35" s="4">
        <f>12</f>
        <v>12</v>
      </c>
      <c r="E35" s="4">
        <f>12+1</f>
        <v>13</v>
      </c>
      <c r="F35" s="4">
        <v>0</v>
      </c>
      <c r="G35" s="4">
        <v>0</v>
      </c>
      <c r="H35" s="4">
        <v>0</v>
      </c>
      <c r="I35" s="4">
        <f>3</f>
        <v>3</v>
      </c>
      <c r="J35" s="4">
        <v>14</v>
      </c>
      <c r="K35" s="4">
        <f>7</f>
        <v>7</v>
      </c>
      <c r="L35" s="47">
        <f>9</f>
        <v>9</v>
      </c>
      <c r="M35" s="4">
        <f>1+6</f>
        <v>7</v>
      </c>
      <c r="N35" s="4">
        <f>12+4</f>
        <v>16</v>
      </c>
      <c r="O35" s="5">
        <f t="shared" si="8"/>
        <v>88</v>
      </c>
    </row>
    <row r="36" spans="1:15" ht="33" customHeight="1" x14ac:dyDescent="0.25">
      <c r="A36" s="10">
        <f t="shared" si="7"/>
        <v>4.6999999999999975</v>
      </c>
      <c r="B36" s="3" t="s">
        <v>221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9">
        <v>0</v>
      </c>
      <c r="L36" s="47">
        <v>0</v>
      </c>
      <c r="M36" s="4">
        <v>0</v>
      </c>
      <c r="N36" s="9">
        <v>0</v>
      </c>
      <c r="O36" s="5">
        <f t="shared" si="8"/>
        <v>0</v>
      </c>
    </row>
    <row r="37" spans="1:15" ht="30" customHeight="1" x14ac:dyDescent="0.25">
      <c r="A37" s="1">
        <f>+A29+1</f>
        <v>5</v>
      </c>
      <c r="B37" s="1" t="s">
        <v>225</v>
      </c>
      <c r="C37" s="1"/>
      <c r="D37" s="1"/>
      <c r="E37" s="1"/>
      <c r="F37" s="1"/>
      <c r="G37" s="1"/>
      <c r="H37" s="1"/>
      <c r="I37" s="1"/>
      <c r="J37" s="1"/>
      <c r="K37" s="1"/>
      <c r="L37" s="48"/>
      <c r="M37" s="1"/>
      <c r="N37" s="1"/>
      <c r="O37" s="1"/>
    </row>
    <row r="38" spans="1:15" ht="33" customHeight="1" x14ac:dyDescent="0.25">
      <c r="A38" s="10">
        <f t="shared" ref="A38:A40" si="9">+A37+0.1</f>
        <v>5.0999999999999996</v>
      </c>
      <c r="B38" s="3" t="s">
        <v>226</v>
      </c>
      <c r="C38" s="4">
        <f>3+26</f>
        <v>29</v>
      </c>
      <c r="D38" s="4">
        <f>3+60</f>
        <v>63</v>
      </c>
      <c r="E38" s="4">
        <f>3+3+73</f>
        <v>79</v>
      </c>
      <c r="F38" s="4">
        <f>2+1+53</f>
        <v>56</v>
      </c>
      <c r="G38" s="4">
        <v>29</v>
      </c>
      <c r="H38" s="4">
        <v>22</v>
      </c>
      <c r="I38" s="4">
        <f>2+2+28</f>
        <v>32</v>
      </c>
      <c r="J38" s="4">
        <v>25</v>
      </c>
      <c r="K38" s="4">
        <f>30+3</f>
        <v>33</v>
      </c>
      <c r="L38" s="47">
        <f>4+42</f>
        <v>46</v>
      </c>
      <c r="M38" s="4">
        <f>4+34</f>
        <v>38</v>
      </c>
      <c r="N38" s="4">
        <f>1+17+2</f>
        <v>20</v>
      </c>
      <c r="O38" s="5">
        <f t="shared" ref="O38:O40" si="10">SUM(C38:N38)</f>
        <v>472</v>
      </c>
    </row>
    <row r="39" spans="1:15" ht="33" customHeight="1" x14ac:dyDescent="0.25">
      <c r="A39" s="10">
        <f t="shared" si="9"/>
        <v>5.1999999999999993</v>
      </c>
      <c r="B39" s="3" t="s">
        <v>227</v>
      </c>
      <c r="C39" s="4">
        <f>6</f>
        <v>6</v>
      </c>
      <c r="D39" s="4">
        <f>19</f>
        <v>19</v>
      </c>
      <c r="E39" s="4">
        <f>42</f>
        <v>42</v>
      </c>
      <c r="F39" s="4">
        <f>41</f>
        <v>41</v>
      </c>
      <c r="G39" s="4">
        <v>35</v>
      </c>
      <c r="H39" s="4">
        <v>12</v>
      </c>
      <c r="I39" s="4">
        <f>16</f>
        <v>16</v>
      </c>
      <c r="J39" s="4">
        <v>12</v>
      </c>
      <c r="K39" s="4">
        <f>20</f>
        <v>20</v>
      </c>
      <c r="L39" s="47">
        <f>30</f>
        <v>30</v>
      </c>
      <c r="M39" s="4">
        <f>8</f>
        <v>8</v>
      </c>
      <c r="N39" s="4">
        <f>25</f>
        <v>25</v>
      </c>
      <c r="O39" s="5">
        <f t="shared" si="10"/>
        <v>266</v>
      </c>
    </row>
    <row r="40" spans="1:15" ht="33" customHeight="1" x14ac:dyDescent="0.25">
      <c r="A40" s="10">
        <f t="shared" si="9"/>
        <v>5.2999999999999989</v>
      </c>
      <c r="B40" s="3" t="s">
        <v>228</v>
      </c>
      <c r="C40" s="4">
        <f>55+3+10+21</f>
        <v>89</v>
      </c>
      <c r="D40" s="4">
        <f>127+17+2+7+4</f>
        <v>157</v>
      </c>
      <c r="E40" s="4">
        <f>27+5+9+13+2</f>
        <v>56</v>
      </c>
      <c r="F40" s="4">
        <f>22+2+3+10</f>
        <v>37</v>
      </c>
      <c r="G40" s="4">
        <v>33</v>
      </c>
      <c r="H40" s="4">
        <v>44</v>
      </c>
      <c r="I40" s="4">
        <f>28+1+27</f>
        <v>56</v>
      </c>
      <c r="J40" s="4">
        <v>42</v>
      </c>
      <c r="K40" s="4">
        <f>20+7+8+25+15</f>
        <v>75</v>
      </c>
      <c r="L40" s="47">
        <f>17+33+4+20</f>
        <v>74</v>
      </c>
      <c r="M40" s="4">
        <f>4+4+35+9+3</f>
        <v>55</v>
      </c>
      <c r="N40" s="9">
        <f>9+4+10+68</f>
        <v>91</v>
      </c>
      <c r="O40" s="5">
        <f t="shared" si="10"/>
        <v>809</v>
      </c>
    </row>
    <row r="41" spans="1:15" ht="30" customHeight="1" x14ac:dyDescent="0.25">
      <c r="A41" s="1">
        <f>+A37+1</f>
        <v>6</v>
      </c>
      <c r="B41" s="1" t="s">
        <v>229</v>
      </c>
      <c r="C41" s="1"/>
      <c r="D41" s="1"/>
      <c r="E41" s="1"/>
      <c r="F41" s="1"/>
      <c r="G41" s="1"/>
      <c r="H41" s="1"/>
      <c r="I41" s="1"/>
      <c r="J41" s="1"/>
      <c r="K41" s="1"/>
      <c r="L41" s="48"/>
      <c r="M41" s="1"/>
      <c r="N41" s="1"/>
      <c r="O41" s="1"/>
    </row>
    <row r="42" spans="1:15" ht="33" customHeight="1" x14ac:dyDescent="0.25">
      <c r="A42" s="10">
        <f t="shared" ref="A42:A45" si="11">+A41+0.1</f>
        <v>6.1</v>
      </c>
      <c r="B42" s="3" t="s">
        <v>230</v>
      </c>
      <c r="C42" s="4">
        <v>1407</v>
      </c>
      <c r="D42" s="4">
        <v>1568</v>
      </c>
      <c r="E42" s="4">
        <f>1233</f>
        <v>1233</v>
      </c>
      <c r="F42" s="4">
        <f>604</f>
        <v>604</v>
      </c>
      <c r="G42" s="4">
        <v>882</v>
      </c>
      <c r="H42" s="4">
        <v>995</v>
      </c>
      <c r="I42" s="4">
        <v>1083</v>
      </c>
      <c r="J42" s="4">
        <v>1038</v>
      </c>
      <c r="K42" s="4">
        <v>1097</v>
      </c>
      <c r="L42" s="47">
        <v>766</v>
      </c>
      <c r="M42" s="4">
        <v>593</v>
      </c>
      <c r="N42" s="4">
        <v>553</v>
      </c>
      <c r="O42" s="5">
        <f t="shared" ref="O42:O45" si="12">SUM(C42:N42)</f>
        <v>11819</v>
      </c>
    </row>
    <row r="43" spans="1:15" ht="33" customHeight="1" x14ac:dyDescent="0.25">
      <c r="A43" s="10">
        <f t="shared" si="11"/>
        <v>6.1999999999999993</v>
      </c>
      <c r="B43" s="3" t="s">
        <v>231</v>
      </c>
      <c r="C43" s="4">
        <v>2931</v>
      </c>
      <c r="D43" s="4">
        <v>2602</v>
      </c>
      <c r="E43" s="4">
        <f>2336</f>
        <v>2336</v>
      </c>
      <c r="F43" s="4">
        <f>1622</f>
        <v>1622</v>
      </c>
      <c r="G43" s="4">
        <v>1530</v>
      </c>
      <c r="H43" s="4">
        <v>1505</v>
      </c>
      <c r="I43" s="4">
        <v>1177</v>
      </c>
      <c r="J43" s="4">
        <v>1745</v>
      </c>
      <c r="K43" s="4">
        <v>1723</v>
      </c>
      <c r="L43" s="47">
        <v>1121</v>
      </c>
      <c r="M43" s="4">
        <v>1040</v>
      </c>
      <c r="N43" s="9">
        <v>914</v>
      </c>
      <c r="O43" s="5">
        <f t="shared" si="12"/>
        <v>20246</v>
      </c>
    </row>
    <row r="44" spans="1:15" ht="33" customHeight="1" x14ac:dyDescent="0.25">
      <c r="A44" s="10">
        <f t="shared" si="11"/>
        <v>6.2999999999999989</v>
      </c>
      <c r="B44" s="3" t="s">
        <v>232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7">
        <v>0</v>
      </c>
      <c r="M44" s="4">
        <v>0</v>
      </c>
      <c r="N44" s="4">
        <v>0</v>
      </c>
      <c r="O44" s="5">
        <f t="shared" si="12"/>
        <v>0</v>
      </c>
    </row>
    <row r="45" spans="1:15" ht="33" customHeight="1" x14ac:dyDescent="0.25">
      <c r="A45" s="16">
        <f t="shared" si="11"/>
        <v>6.3999999999999986</v>
      </c>
      <c r="B45" s="38" t="s">
        <v>76</v>
      </c>
      <c r="C45" s="5">
        <f t="shared" ref="C45:F45" si="13">SUM(C42:C44)</f>
        <v>4338</v>
      </c>
      <c r="D45" s="5">
        <f t="shared" si="13"/>
        <v>4170</v>
      </c>
      <c r="E45" s="5">
        <f t="shared" si="13"/>
        <v>3569</v>
      </c>
      <c r="F45" s="5">
        <f t="shared" si="13"/>
        <v>2226</v>
      </c>
      <c r="G45" s="5">
        <v>2412</v>
      </c>
      <c r="H45" s="5">
        <v>2500</v>
      </c>
      <c r="I45" s="5">
        <f>SUM(I42:I44)</f>
        <v>2260</v>
      </c>
      <c r="J45" s="5">
        <v>2783</v>
      </c>
      <c r="K45" s="5">
        <f>SUM(K42:K44)</f>
        <v>2820</v>
      </c>
      <c r="L45" s="49">
        <f>SUM(L42:L44)</f>
        <v>1887</v>
      </c>
      <c r="M45" s="49">
        <f>SUM(M42:M44)</f>
        <v>1633</v>
      </c>
      <c r="N45" s="49">
        <f>SUM(N42:N44)</f>
        <v>1467</v>
      </c>
      <c r="O45" s="5">
        <f t="shared" si="12"/>
        <v>32065</v>
      </c>
    </row>
    <row r="46" spans="1:15" ht="30" customHeight="1" x14ac:dyDescent="0.25">
      <c r="A46" s="1">
        <f>+A41+1</f>
        <v>7</v>
      </c>
      <c r="B46" s="1" t="s">
        <v>233</v>
      </c>
      <c r="C46" s="1"/>
      <c r="D46" s="1"/>
      <c r="E46" s="1"/>
      <c r="F46" s="1"/>
      <c r="G46" s="1"/>
      <c r="H46" s="1"/>
      <c r="I46" s="1"/>
      <c r="J46" s="1"/>
      <c r="K46" s="1"/>
      <c r="L46" s="48"/>
      <c r="M46" s="1"/>
      <c r="N46" s="1"/>
      <c r="O46" s="1"/>
    </row>
    <row r="47" spans="1:15" ht="33" customHeight="1" x14ac:dyDescent="0.25">
      <c r="A47" s="10">
        <f t="shared" ref="A47:A50" si="14">+A46+0.1</f>
        <v>7.1</v>
      </c>
      <c r="B47" s="3" t="s">
        <v>230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7">
        <v>0</v>
      </c>
      <c r="M47" s="47">
        <v>0</v>
      </c>
      <c r="N47" s="47">
        <v>0</v>
      </c>
      <c r="O47" s="5">
        <f t="shared" ref="O47:O50" si="15">SUM(C47:N47)</f>
        <v>0</v>
      </c>
    </row>
    <row r="48" spans="1:15" ht="33" customHeight="1" x14ac:dyDescent="0.25">
      <c r="A48" s="10">
        <f t="shared" si="14"/>
        <v>7.1999999999999993</v>
      </c>
      <c r="B48" s="3" t="s">
        <v>231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7">
        <v>0</v>
      </c>
      <c r="M48" s="47">
        <v>0</v>
      </c>
      <c r="N48" s="47">
        <v>0</v>
      </c>
      <c r="O48" s="5">
        <f t="shared" si="15"/>
        <v>0</v>
      </c>
    </row>
    <row r="49" spans="1:15" ht="33" customHeight="1" x14ac:dyDescent="0.25">
      <c r="A49" s="10">
        <f t="shared" si="14"/>
        <v>7.2999999999999989</v>
      </c>
      <c r="B49" s="3" t="s">
        <v>232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7">
        <v>0</v>
      </c>
      <c r="M49" s="47">
        <v>0</v>
      </c>
      <c r="N49" s="47">
        <v>0</v>
      </c>
      <c r="O49" s="5">
        <f t="shared" si="15"/>
        <v>0</v>
      </c>
    </row>
    <row r="50" spans="1:15" ht="33" customHeight="1" x14ac:dyDescent="0.25">
      <c r="A50" s="16">
        <f t="shared" si="14"/>
        <v>7.3999999999999986</v>
      </c>
      <c r="B50" s="11" t="s">
        <v>76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49">
        <v>0</v>
      </c>
      <c r="M50" s="49">
        <v>0</v>
      </c>
      <c r="N50" s="49">
        <v>0</v>
      </c>
      <c r="O50" s="5">
        <f t="shared" si="15"/>
        <v>0</v>
      </c>
    </row>
    <row r="51" spans="1:15" ht="30" customHeight="1" x14ac:dyDescent="0.25">
      <c r="A51" s="1">
        <f>+A46+1</f>
        <v>8</v>
      </c>
      <c r="B51" s="1" t="s">
        <v>234</v>
      </c>
      <c r="C51" s="1"/>
      <c r="D51" s="1"/>
      <c r="E51" s="1"/>
      <c r="F51" s="1"/>
      <c r="G51" s="1"/>
      <c r="H51" s="1"/>
      <c r="I51" s="1"/>
      <c r="J51" s="1"/>
      <c r="K51" s="1"/>
      <c r="L51" s="48"/>
      <c r="M51" s="1"/>
      <c r="N51" s="1"/>
      <c r="O51" s="1"/>
    </row>
    <row r="52" spans="1:15" ht="33" customHeight="1" x14ac:dyDescent="0.25">
      <c r="A52" s="10">
        <f t="shared" ref="A52:A55" si="16">+A51+0.1</f>
        <v>8.1</v>
      </c>
      <c r="B52" s="3" t="s">
        <v>230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7">
        <v>0</v>
      </c>
      <c r="M52" s="47">
        <v>0</v>
      </c>
      <c r="N52" s="47">
        <v>0</v>
      </c>
      <c r="O52" s="5">
        <f t="shared" ref="O52:O55" si="17">SUM(C52:N52)</f>
        <v>0</v>
      </c>
    </row>
    <row r="53" spans="1:15" ht="33" customHeight="1" x14ac:dyDescent="0.25">
      <c r="A53" s="10">
        <f t="shared" si="16"/>
        <v>8.1999999999999993</v>
      </c>
      <c r="B53" s="3" t="s">
        <v>231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7">
        <v>0</v>
      </c>
      <c r="M53" s="47">
        <v>0</v>
      </c>
      <c r="N53" s="47">
        <v>0</v>
      </c>
      <c r="O53" s="5">
        <f t="shared" si="17"/>
        <v>0</v>
      </c>
    </row>
    <row r="54" spans="1:15" ht="33" customHeight="1" x14ac:dyDescent="0.25">
      <c r="A54" s="10">
        <f t="shared" si="16"/>
        <v>8.2999999999999989</v>
      </c>
      <c r="B54" s="3" t="s">
        <v>232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7">
        <v>0</v>
      </c>
      <c r="M54" s="47">
        <v>0</v>
      </c>
      <c r="N54" s="47">
        <v>0</v>
      </c>
      <c r="O54" s="5">
        <f t="shared" si="17"/>
        <v>0</v>
      </c>
    </row>
    <row r="55" spans="1:15" ht="33" customHeight="1" x14ac:dyDescent="0.25">
      <c r="A55" s="16">
        <f t="shared" si="16"/>
        <v>8.3999999999999986</v>
      </c>
      <c r="B55" s="11" t="s">
        <v>76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49">
        <v>0</v>
      </c>
      <c r="M55" s="49">
        <v>0</v>
      </c>
      <c r="N55" s="49">
        <v>0</v>
      </c>
      <c r="O55" s="5">
        <f t="shared" si="17"/>
        <v>0</v>
      </c>
    </row>
    <row r="56" spans="1:15" ht="30" customHeight="1" x14ac:dyDescent="0.25">
      <c r="A56" s="1">
        <f>+A51+1</f>
        <v>9</v>
      </c>
      <c r="B56" s="1" t="s">
        <v>235</v>
      </c>
      <c r="C56" s="1"/>
      <c r="D56" s="1"/>
      <c r="E56" s="1"/>
      <c r="F56" s="1"/>
      <c r="G56" s="1"/>
      <c r="H56" s="1"/>
      <c r="I56" s="1"/>
      <c r="J56" s="1"/>
      <c r="K56" s="1"/>
      <c r="L56" s="48"/>
      <c r="M56" s="1"/>
      <c r="N56" s="1"/>
      <c r="O56" s="1"/>
    </row>
    <row r="57" spans="1:15" ht="33" customHeight="1" x14ac:dyDescent="0.25">
      <c r="A57" s="10">
        <f t="shared" ref="A57:A59" si="18">+A56+0.1</f>
        <v>9.1</v>
      </c>
      <c r="B57" s="3" t="s">
        <v>230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7">
        <v>0</v>
      </c>
      <c r="M57" s="47">
        <v>0</v>
      </c>
      <c r="N57" s="47">
        <v>0</v>
      </c>
      <c r="O57" s="5">
        <f t="shared" ref="O57:O60" si="19">SUM(C57:N57)</f>
        <v>0</v>
      </c>
    </row>
    <row r="58" spans="1:15" ht="33" customHeight="1" x14ac:dyDescent="0.25">
      <c r="A58" s="10">
        <f t="shared" si="18"/>
        <v>9.1999999999999993</v>
      </c>
      <c r="B58" s="3" t="s">
        <v>231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7">
        <v>0</v>
      </c>
      <c r="M58" s="47">
        <v>0</v>
      </c>
      <c r="N58" s="47">
        <v>0</v>
      </c>
      <c r="O58" s="5">
        <f t="shared" si="19"/>
        <v>0</v>
      </c>
    </row>
    <row r="59" spans="1:15" ht="33" customHeight="1" x14ac:dyDescent="0.25">
      <c r="A59" s="10">
        <f t="shared" si="18"/>
        <v>9.2999999999999989</v>
      </c>
      <c r="B59" s="3" t="s">
        <v>232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7">
        <v>0</v>
      </c>
      <c r="M59" s="47">
        <v>0</v>
      </c>
      <c r="N59" s="47">
        <v>0</v>
      </c>
      <c r="O59" s="5">
        <f t="shared" si="19"/>
        <v>0</v>
      </c>
    </row>
    <row r="60" spans="1:15" ht="33" customHeight="1" x14ac:dyDescent="0.25">
      <c r="A60" s="16">
        <f>+A59+0.01</f>
        <v>9.3099999999999987</v>
      </c>
      <c r="B60" s="11" t="s">
        <v>76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49">
        <v>0</v>
      </c>
      <c r="M60" s="49">
        <v>0</v>
      </c>
      <c r="N60" s="49">
        <v>0</v>
      </c>
      <c r="O60" s="5">
        <f t="shared" si="19"/>
        <v>0</v>
      </c>
    </row>
    <row r="61" spans="1:15" ht="30" customHeight="1" x14ac:dyDescent="0.25">
      <c r="A61" s="1">
        <f>+A56+1</f>
        <v>10</v>
      </c>
      <c r="B61" s="1" t="s">
        <v>34</v>
      </c>
      <c r="C61" s="1"/>
      <c r="D61" s="1"/>
      <c r="E61" s="1"/>
      <c r="F61" s="1"/>
      <c r="G61" s="1"/>
      <c r="H61" s="1"/>
      <c r="I61" s="1"/>
      <c r="J61" s="1"/>
      <c r="K61" s="1"/>
      <c r="L61" s="48"/>
      <c r="M61" s="1"/>
      <c r="N61" s="1"/>
      <c r="O61" s="1"/>
    </row>
    <row r="62" spans="1:15" ht="33" customHeight="1" x14ac:dyDescent="0.25">
      <c r="A62" s="10">
        <f t="shared" ref="A62:A65" si="20">+A61+0.1</f>
        <v>10.1</v>
      </c>
      <c r="B62" s="3" t="s">
        <v>230</v>
      </c>
      <c r="C62" s="39">
        <v>51300</v>
      </c>
      <c r="D62" s="39">
        <v>114800</v>
      </c>
      <c r="E62" s="39">
        <f>121887</f>
        <v>121887</v>
      </c>
      <c r="F62" s="40">
        <f>20900</f>
        <v>20900</v>
      </c>
      <c r="G62" s="41">
        <v>21100</v>
      </c>
      <c r="H62" s="42">
        <v>27900</v>
      </c>
      <c r="I62" s="39">
        <v>37300</v>
      </c>
      <c r="J62" s="39">
        <v>31850</v>
      </c>
      <c r="K62" s="39">
        <v>46500</v>
      </c>
      <c r="L62" s="50">
        <v>45100</v>
      </c>
      <c r="M62" s="40">
        <v>27000</v>
      </c>
      <c r="N62" s="39">
        <v>23700</v>
      </c>
      <c r="O62" s="43">
        <f t="shared" ref="O62:O65" si="21">SUM(C62:N62)</f>
        <v>569337</v>
      </c>
    </row>
    <row r="63" spans="1:15" ht="33" customHeight="1" x14ac:dyDescent="0.25">
      <c r="A63" s="10">
        <f t="shared" si="20"/>
        <v>10.199999999999999</v>
      </c>
      <c r="B63" s="3" t="s">
        <v>231</v>
      </c>
      <c r="C63" s="39">
        <v>46600</v>
      </c>
      <c r="D63" s="39">
        <v>130600</v>
      </c>
      <c r="E63" s="39">
        <f>217600</f>
        <v>217600</v>
      </c>
      <c r="F63" s="40">
        <v>71100</v>
      </c>
      <c r="G63" s="41">
        <v>46400</v>
      </c>
      <c r="H63" s="39">
        <v>42800</v>
      </c>
      <c r="I63" s="39">
        <v>22700</v>
      </c>
      <c r="J63" s="39">
        <v>75000</v>
      </c>
      <c r="K63" s="39">
        <v>94370</v>
      </c>
      <c r="L63" s="50">
        <v>49500</v>
      </c>
      <c r="M63" s="40">
        <v>34400</v>
      </c>
      <c r="N63" s="42">
        <v>62000</v>
      </c>
      <c r="O63" s="43">
        <f t="shared" si="21"/>
        <v>893070</v>
      </c>
    </row>
    <row r="64" spans="1:15" ht="33" customHeight="1" x14ac:dyDescent="0.25">
      <c r="A64" s="10">
        <f t="shared" si="20"/>
        <v>10.299999999999999</v>
      </c>
      <c r="B64" s="3" t="s">
        <v>232</v>
      </c>
      <c r="C64" s="39">
        <v>0</v>
      </c>
      <c r="D64" s="39">
        <v>0</v>
      </c>
      <c r="E64" s="39">
        <v>0</v>
      </c>
      <c r="F64" s="39">
        <v>0</v>
      </c>
      <c r="G64" s="41">
        <v>0</v>
      </c>
      <c r="H64" s="39">
        <v>0</v>
      </c>
      <c r="I64" s="39">
        <v>0</v>
      </c>
      <c r="J64" s="39">
        <v>0</v>
      </c>
      <c r="K64" s="39">
        <v>0</v>
      </c>
      <c r="L64" s="50">
        <v>0</v>
      </c>
      <c r="M64" s="56">
        <v>0</v>
      </c>
      <c r="N64" s="39">
        <v>0</v>
      </c>
      <c r="O64" s="43">
        <f t="shared" si="21"/>
        <v>0</v>
      </c>
    </row>
    <row r="65" spans="1:15" ht="33" customHeight="1" x14ac:dyDescent="0.25">
      <c r="A65" s="16">
        <f t="shared" si="20"/>
        <v>10.399999999999999</v>
      </c>
      <c r="B65" s="11" t="s">
        <v>76</v>
      </c>
      <c r="C65" s="44">
        <f t="shared" ref="C65:F65" si="22">SUM(C62:C64)</f>
        <v>97900</v>
      </c>
      <c r="D65" s="44">
        <f t="shared" si="22"/>
        <v>245400</v>
      </c>
      <c r="E65" s="44">
        <f t="shared" si="22"/>
        <v>339487</v>
      </c>
      <c r="F65" s="44">
        <f t="shared" si="22"/>
        <v>92000</v>
      </c>
      <c r="G65" s="15">
        <v>67500</v>
      </c>
      <c r="H65" s="45">
        <v>70700</v>
      </c>
      <c r="I65" s="44">
        <f>SUM(I62:I64)</f>
        <v>60000</v>
      </c>
      <c r="J65" s="45">
        <v>106850</v>
      </c>
      <c r="K65" s="44">
        <f>SUM(K62:K64)</f>
        <v>140870</v>
      </c>
      <c r="L65" s="51">
        <f>SUM(L62:L64)</f>
        <v>94600</v>
      </c>
      <c r="M65" s="51">
        <f>SUM(M62:M64)</f>
        <v>61400</v>
      </c>
      <c r="N65" s="51">
        <f>SUM(N62:N64)</f>
        <v>85700</v>
      </c>
      <c r="O65" s="15">
        <f t="shared" si="21"/>
        <v>1462407</v>
      </c>
    </row>
    <row r="66" spans="1:15" ht="30" customHeight="1" x14ac:dyDescent="0.25">
      <c r="A66" s="1">
        <f>+A61+1</f>
        <v>11</v>
      </c>
      <c r="B66" s="1" t="s">
        <v>236</v>
      </c>
      <c r="C66" s="1"/>
      <c r="D66" s="1"/>
      <c r="E66" s="1"/>
      <c r="F66" s="1"/>
      <c r="G66" s="1"/>
      <c r="H66" s="1"/>
      <c r="I66" s="1"/>
      <c r="J66" s="1"/>
      <c r="K66" s="1"/>
      <c r="L66" s="48"/>
      <c r="M66" s="1"/>
      <c r="N66" s="1"/>
      <c r="O66" s="1"/>
    </row>
    <row r="67" spans="1:15" ht="46.5" customHeight="1" x14ac:dyDescent="0.25">
      <c r="A67" s="10">
        <f t="shared" ref="A67:A71" si="23">+A66+0.1</f>
        <v>11.1</v>
      </c>
      <c r="B67" s="3" t="s">
        <v>237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7">
        <v>0</v>
      </c>
      <c r="M67" s="47">
        <v>0</v>
      </c>
      <c r="N67" s="47">
        <v>0</v>
      </c>
      <c r="O67" s="5">
        <f t="shared" ref="O67:O71" si="24">SUM(C67:N67)</f>
        <v>0</v>
      </c>
    </row>
    <row r="68" spans="1:15" ht="46.5" customHeight="1" x14ac:dyDescent="0.25">
      <c r="A68" s="10">
        <f t="shared" si="23"/>
        <v>11.2</v>
      </c>
      <c r="B68" s="3" t="s">
        <v>238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7">
        <v>0</v>
      </c>
      <c r="M68" s="47">
        <v>0</v>
      </c>
      <c r="N68" s="47">
        <v>0</v>
      </c>
      <c r="O68" s="5">
        <f t="shared" si="24"/>
        <v>0</v>
      </c>
    </row>
    <row r="69" spans="1:15" ht="46.5" customHeight="1" x14ac:dyDescent="0.25">
      <c r="A69" s="10">
        <f t="shared" si="23"/>
        <v>11.299999999999999</v>
      </c>
      <c r="B69" s="3" t="s">
        <v>239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7">
        <v>0</v>
      </c>
      <c r="M69" s="47">
        <v>0</v>
      </c>
      <c r="N69" s="47">
        <v>0</v>
      </c>
      <c r="O69" s="5">
        <f t="shared" si="24"/>
        <v>0</v>
      </c>
    </row>
    <row r="70" spans="1:15" ht="46.5" customHeight="1" x14ac:dyDescent="0.25">
      <c r="A70" s="10">
        <f t="shared" si="23"/>
        <v>11.399999999999999</v>
      </c>
      <c r="B70" s="3" t="s">
        <v>240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7">
        <v>0</v>
      </c>
      <c r="M70" s="47">
        <v>0</v>
      </c>
      <c r="N70" s="47">
        <v>0</v>
      </c>
      <c r="O70" s="5">
        <f t="shared" si="24"/>
        <v>0</v>
      </c>
    </row>
    <row r="71" spans="1:15" ht="46.5" customHeight="1" x14ac:dyDescent="0.25">
      <c r="A71" s="10">
        <f t="shared" si="23"/>
        <v>11.499999999999998</v>
      </c>
      <c r="B71" s="3" t="s">
        <v>241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7">
        <v>0</v>
      </c>
      <c r="M71" s="47">
        <v>0</v>
      </c>
      <c r="N71" s="47">
        <v>0</v>
      </c>
      <c r="O71" s="5">
        <f t="shared" si="24"/>
        <v>0</v>
      </c>
    </row>
    <row r="72" spans="1:15" ht="30" customHeight="1" x14ac:dyDescent="0.25">
      <c r="A72" s="1">
        <f>+A66+1</f>
        <v>12</v>
      </c>
      <c r="B72" s="1" t="s">
        <v>242</v>
      </c>
      <c r="C72" s="1"/>
      <c r="D72" s="1"/>
      <c r="E72" s="1"/>
      <c r="F72" s="1"/>
      <c r="G72" s="1"/>
      <c r="H72" s="1"/>
      <c r="I72" s="1"/>
      <c r="J72" s="1"/>
      <c r="K72" s="1"/>
      <c r="L72" s="48"/>
      <c r="M72" s="1"/>
      <c r="N72" s="1"/>
      <c r="O72" s="1"/>
    </row>
    <row r="73" spans="1:15" ht="45" customHeight="1" x14ac:dyDescent="0.25">
      <c r="A73" s="10">
        <f t="shared" ref="A73:A74" si="25">+A72+0.1</f>
        <v>12.1</v>
      </c>
      <c r="B73" s="3" t="s">
        <v>243</v>
      </c>
      <c r="C73" s="4">
        <v>0</v>
      </c>
      <c r="D73" s="4">
        <v>0</v>
      </c>
      <c r="E73" s="4">
        <v>0</v>
      </c>
      <c r="F73" s="4">
        <v>0</v>
      </c>
      <c r="G73" s="4">
        <v>5</v>
      </c>
      <c r="H73" s="9">
        <v>2</v>
      </c>
      <c r="I73" s="4">
        <v>3</v>
      </c>
      <c r="J73" s="4">
        <v>0</v>
      </c>
      <c r="K73" s="9">
        <v>0</v>
      </c>
      <c r="L73" s="47">
        <v>1</v>
      </c>
      <c r="M73" s="4">
        <v>0</v>
      </c>
      <c r="N73" s="59">
        <v>0</v>
      </c>
      <c r="O73" s="5">
        <f t="shared" ref="O73:O74" si="26">SUM(C73:N73)</f>
        <v>11</v>
      </c>
    </row>
    <row r="74" spans="1:15" ht="45" customHeight="1" x14ac:dyDescent="0.25">
      <c r="A74" s="10">
        <f t="shared" si="25"/>
        <v>12.2</v>
      </c>
      <c r="B74" s="3" t="s">
        <v>244</v>
      </c>
      <c r="C74" s="4">
        <v>0</v>
      </c>
      <c r="D74" s="4">
        <v>2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9">
        <v>2</v>
      </c>
      <c r="L74" s="47">
        <v>1</v>
      </c>
      <c r="M74" s="4">
        <v>0</v>
      </c>
      <c r="N74" s="59">
        <v>0</v>
      </c>
      <c r="O74" s="5">
        <f t="shared" si="26"/>
        <v>5</v>
      </c>
    </row>
    <row r="75" spans="1:15" ht="30" customHeight="1" x14ac:dyDescent="0.25">
      <c r="A75" s="1">
        <f>+A72+1</f>
        <v>13</v>
      </c>
      <c r="B75" s="1" t="s">
        <v>245</v>
      </c>
      <c r="C75" s="1"/>
      <c r="D75" s="1"/>
      <c r="E75" s="1"/>
      <c r="F75" s="1"/>
      <c r="G75" s="1"/>
      <c r="H75" s="1"/>
      <c r="I75" s="1"/>
      <c r="J75" s="1"/>
      <c r="K75" s="1"/>
      <c r="L75" s="48"/>
      <c r="M75" s="1"/>
      <c r="N75" s="1"/>
      <c r="O75" s="1"/>
    </row>
    <row r="76" spans="1:15" ht="45" customHeight="1" x14ac:dyDescent="0.25">
      <c r="A76" s="10">
        <f t="shared" ref="A76:A84" si="27">+A75+0.1</f>
        <v>13.1</v>
      </c>
      <c r="B76" s="3" t="s">
        <v>246</v>
      </c>
      <c r="C76" s="4">
        <f>14+365+1</f>
        <v>380</v>
      </c>
      <c r="D76" s="4">
        <f>2+290+10</f>
        <v>302</v>
      </c>
      <c r="E76" s="4">
        <f>8+200+6</f>
        <v>214</v>
      </c>
      <c r="F76" s="4">
        <f>63+4</f>
        <v>67</v>
      </c>
      <c r="G76" s="4">
        <v>98</v>
      </c>
      <c r="H76" s="4">
        <v>416</v>
      </c>
      <c r="I76" s="46">
        <f>115+4</f>
        <v>119</v>
      </c>
      <c r="J76" s="4">
        <v>85</v>
      </c>
      <c r="K76" s="4">
        <f>4+8+138+1</f>
        <v>151</v>
      </c>
      <c r="L76" s="47">
        <f>224+4+1+11+1</f>
        <v>241</v>
      </c>
      <c r="M76" s="4">
        <f>3+145+6</f>
        <v>154</v>
      </c>
      <c r="N76" s="4">
        <f>126+5+5</f>
        <v>136</v>
      </c>
      <c r="O76" s="5">
        <f t="shared" ref="O76:O86" si="28">SUM(C76:N76)</f>
        <v>2363</v>
      </c>
    </row>
    <row r="77" spans="1:15" ht="45" customHeight="1" x14ac:dyDescent="0.25">
      <c r="A77" s="10">
        <f t="shared" si="27"/>
        <v>13.2</v>
      </c>
      <c r="B77" s="3" t="s">
        <v>247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7">
        <v>0</v>
      </c>
      <c r="M77" s="4">
        <v>0</v>
      </c>
      <c r="N77" s="4">
        <v>0</v>
      </c>
      <c r="O77" s="5">
        <f t="shared" si="28"/>
        <v>0</v>
      </c>
    </row>
    <row r="78" spans="1:15" ht="45" customHeight="1" x14ac:dyDescent="0.25">
      <c r="A78" s="10">
        <f t="shared" si="27"/>
        <v>13.299999999999999</v>
      </c>
      <c r="B78" s="3" t="s">
        <v>248</v>
      </c>
      <c r="C78" s="4">
        <f>9+175</f>
        <v>184</v>
      </c>
      <c r="D78" s="4">
        <f>228+6</f>
        <v>234</v>
      </c>
      <c r="E78" s="4">
        <f>19+262</f>
        <v>281</v>
      </c>
      <c r="F78" s="4">
        <f>273</f>
        <v>273</v>
      </c>
      <c r="G78" s="4">
        <v>210</v>
      </c>
      <c r="H78" s="4">
        <v>83</v>
      </c>
      <c r="I78" s="46">
        <f>101+3</f>
        <v>104</v>
      </c>
      <c r="J78" s="4">
        <v>113</v>
      </c>
      <c r="K78" s="4">
        <f>6+123</f>
        <v>129</v>
      </c>
      <c r="L78" s="47">
        <f>216+4</f>
        <v>220</v>
      </c>
      <c r="M78" s="4">
        <f>138+10</f>
        <v>148</v>
      </c>
      <c r="N78" s="4">
        <f>131+1</f>
        <v>132</v>
      </c>
      <c r="O78" s="5">
        <f t="shared" si="28"/>
        <v>2111</v>
      </c>
    </row>
    <row r="79" spans="1:15" ht="45" customHeight="1" x14ac:dyDescent="0.25">
      <c r="A79" s="10">
        <f t="shared" si="27"/>
        <v>13.399999999999999</v>
      </c>
      <c r="B79" s="3" t="s">
        <v>249</v>
      </c>
      <c r="C79" s="4">
        <f>7+43</f>
        <v>50</v>
      </c>
      <c r="D79" s="4">
        <f>45+5</f>
        <v>50</v>
      </c>
      <c r="E79" s="4">
        <f>19+110</f>
        <v>129</v>
      </c>
      <c r="F79" s="4">
        <f>167</f>
        <v>167</v>
      </c>
      <c r="G79" s="4">
        <v>92</v>
      </c>
      <c r="H79" s="4">
        <v>16</v>
      </c>
      <c r="I79" s="4">
        <f>12</f>
        <v>12</v>
      </c>
      <c r="J79" s="4">
        <v>19</v>
      </c>
      <c r="K79" s="4">
        <f>6+33</f>
        <v>39</v>
      </c>
      <c r="L79" s="47">
        <f>10+4</f>
        <v>14</v>
      </c>
      <c r="M79" s="4">
        <f>37+8</f>
        <v>45</v>
      </c>
      <c r="N79" s="4">
        <f>8</f>
        <v>8</v>
      </c>
      <c r="O79" s="5">
        <f t="shared" si="28"/>
        <v>641</v>
      </c>
    </row>
    <row r="80" spans="1:15" ht="45" customHeight="1" x14ac:dyDescent="0.25">
      <c r="A80" s="10">
        <f t="shared" si="27"/>
        <v>13.499999999999998</v>
      </c>
      <c r="B80" s="3" t="s">
        <v>250</v>
      </c>
      <c r="C80" s="4">
        <f>2+132</f>
        <v>134</v>
      </c>
      <c r="D80" s="4">
        <f>183+1</f>
        <v>184</v>
      </c>
      <c r="E80" s="4">
        <f>152</f>
        <v>152</v>
      </c>
      <c r="F80" s="4">
        <f>106</f>
        <v>106</v>
      </c>
      <c r="G80" s="4">
        <v>118</v>
      </c>
      <c r="H80" s="4">
        <v>67</v>
      </c>
      <c r="I80" s="46">
        <f>89+3</f>
        <v>92</v>
      </c>
      <c r="J80" s="4">
        <v>94</v>
      </c>
      <c r="K80" s="4">
        <f>90</f>
        <v>90</v>
      </c>
      <c r="L80" s="47">
        <f>206</f>
        <v>206</v>
      </c>
      <c r="M80" s="4">
        <f>101+2</f>
        <v>103</v>
      </c>
      <c r="N80" s="4">
        <f>123+1</f>
        <v>124</v>
      </c>
      <c r="O80" s="5">
        <f t="shared" si="28"/>
        <v>1470</v>
      </c>
    </row>
    <row r="81" spans="1:15" ht="45" customHeight="1" x14ac:dyDescent="0.25">
      <c r="A81" s="10">
        <f t="shared" si="27"/>
        <v>13.599999999999998</v>
      </c>
      <c r="B81" s="3" t="s">
        <v>251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7">
        <v>0</v>
      </c>
      <c r="M81" s="47">
        <v>0</v>
      </c>
      <c r="N81" s="4">
        <v>0</v>
      </c>
      <c r="O81" s="5">
        <f t="shared" si="28"/>
        <v>0</v>
      </c>
    </row>
    <row r="82" spans="1:15" ht="45" customHeight="1" x14ac:dyDescent="0.25">
      <c r="A82" s="10">
        <f t="shared" si="27"/>
        <v>13.699999999999998</v>
      </c>
      <c r="B82" s="3" t="s">
        <v>252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7">
        <v>0</v>
      </c>
      <c r="M82" s="47">
        <v>0</v>
      </c>
      <c r="N82" s="4">
        <v>0</v>
      </c>
      <c r="O82" s="5">
        <f t="shared" si="28"/>
        <v>0</v>
      </c>
    </row>
    <row r="83" spans="1:15" ht="45" customHeight="1" x14ac:dyDescent="0.25">
      <c r="A83" s="10">
        <f t="shared" si="27"/>
        <v>13.799999999999997</v>
      </c>
      <c r="B83" s="3" t="s">
        <v>253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7">
        <v>0</v>
      </c>
      <c r="M83" s="47">
        <v>0</v>
      </c>
      <c r="N83" s="4">
        <v>0</v>
      </c>
      <c r="O83" s="5">
        <f t="shared" si="28"/>
        <v>0</v>
      </c>
    </row>
    <row r="84" spans="1:15" ht="45" customHeight="1" x14ac:dyDescent="0.25">
      <c r="A84" s="10">
        <f t="shared" si="27"/>
        <v>13.899999999999997</v>
      </c>
      <c r="B84" s="3" t="s">
        <v>254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7">
        <v>0</v>
      </c>
      <c r="M84" s="47">
        <v>0</v>
      </c>
      <c r="N84" s="4">
        <v>0</v>
      </c>
      <c r="O84" s="5">
        <f t="shared" si="28"/>
        <v>0</v>
      </c>
    </row>
    <row r="85" spans="1:15" ht="45" customHeight="1" x14ac:dyDescent="0.25">
      <c r="A85" s="2">
        <v>13.1</v>
      </c>
      <c r="B85" s="3" t="s">
        <v>255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7">
        <v>0</v>
      </c>
      <c r="M85" s="47">
        <v>0</v>
      </c>
      <c r="N85" s="4">
        <v>0</v>
      </c>
      <c r="O85" s="5">
        <f t="shared" si="28"/>
        <v>0</v>
      </c>
    </row>
    <row r="86" spans="1:15" ht="45" customHeight="1" x14ac:dyDescent="0.25">
      <c r="A86" s="2">
        <v>13.11</v>
      </c>
      <c r="B86" s="3" t="s">
        <v>256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7">
        <v>0</v>
      </c>
      <c r="M86" s="47">
        <v>0</v>
      </c>
      <c r="N86" s="4">
        <v>0</v>
      </c>
      <c r="O86" s="5">
        <f t="shared" si="28"/>
        <v>0</v>
      </c>
    </row>
    <row r="87" spans="1:15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" footer="0"/>
  <pageSetup fitToHeight="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18EB5"/>
    <pageSetUpPr fitToPage="1"/>
  </sheetPr>
  <dimension ref="A1:O100"/>
  <sheetViews>
    <sheetView topLeftCell="C1" workbookViewId="0">
      <selection activeCell="N5" sqref="N5:N20"/>
    </sheetView>
  </sheetViews>
  <sheetFormatPr baseColWidth="10" defaultColWidth="14.42578125" defaultRowHeight="15" customHeight="1" x14ac:dyDescent="0.25"/>
  <cols>
    <col min="1" max="1" width="8.42578125" customWidth="1"/>
    <col min="2" max="2" width="53.7109375" customWidth="1"/>
    <col min="3" max="3" width="12.42578125" customWidth="1"/>
    <col min="4" max="4" width="14.42578125" customWidth="1"/>
    <col min="5" max="5" width="12.85546875" customWidth="1"/>
    <col min="6" max="6" width="11.5703125" customWidth="1"/>
    <col min="7" max="7" width="12" customWidth="1"/>
    <col min="8" max="8" width="11.5703125" customWidth="1"/>
    <col min="9" max="9" width="11" customWidth="1"/>
    <col min="10" max="10" width="13.42578125" customWidth="1"/>
    <col min="11" max="11" width="17.42578125" customWidth="1"/>
    <col min="12" max="12" width="14.42578125" customWidth="1"/>
    <col min="13" max="13" width="17.28515625" customWidth="1"/>
    <col min="14" max="14" width="16.42578125" customWidth="1"/>
    <col min="15" max="15" width="12.7109375" customWidth="1"/>
  </cols>
  <sheetData>
    <row r="1" spans="1:15" ht="32.25" customHeight="1" x14ac:dyDescent="0.25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32.25" customHeight="1" x14ac:dyDescent="0.25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1:15" ht="39.75" customHeight="1" x14ac:dyDescent="0.25">
      <c r="A3" s="63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</row>
    <row r="4" spans="1:15" ht="40.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33.75" customHeight="1" x14ac:dyDescent="0.25">
      <c r="A5" s="10">
        <v>1</v>
      </c>
      <c r="B5" s="3" t="s">
        <v>257</v>
      </c>
      <c r="C5" s="4">
        <v>2</v>
      </c>
      <c r="D5" s="4">
        <v>2</v>
      </c>
      <c r="E5" s="4">
        <v>2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7">
        <v>0</v>
      </c>
      <c r="M5" s="4">
        <v>0</v>
      </c>
      <c r="N5" s="4">
        <v>0</v>
      </c>
      <c r="O5" s="5">
        <f t="shared" ref="O5:O15" si="0">SUM(C5:N5)</f>
        <v>6</v>
      </c>
    </row>
    <row r="6" spans="1:15" ht="33.75" customHeight="1" x14ac:dyDescent="0.25">
      <c r="A6" s="10">
        <f t="shared" ref="A6:A16" si="1">+A5+1</f>
        <v>2</v>
      </c>
      <c r="B6" s="3" t="s">
        <v>258</v>
      </c>
      <c r="C6" s="4">
        <v>0</v>
      </c>
      <c r="D6" s="4">
        <v>0</v>
      </c>
      <c r="E6" s="4">
        <v>0</v>
      </c>
      <c r="F6" s="4">
        <v>1</v>
      </c>
      <c r="G6" s="4">
        <v>0</v>
      </c>
      <c r="H6" s="4">
        <v>1</v>
      </c>
      <c r="I6" s="4">
        <v>2</v>
      </c>
      <c r="J6" s="4">
        <v>0</v>
      </c>
      <c r="K6" s="4">
        <v>2</v>
      </c>
      <c r="L6" s="47">
        <v>3</v>
      </c>
      <c r="M6" s="4">
        <v>1</v>
      </c>
      <c r="N6" s="4">
        <v>2</v>
      </c>
      <c r="O6" s="5">
        <f t="shared" si="0"/>
        <v>12</v>
      </c>
    </row>
    <row r="7" spans="1:15" ht="33.75" customHeight="1" x14ac:dyDescent="0.25">
      <c r="A7" s="10">
        <f t="shared" si="1"/>
        <v>3</v>
      </c>
      <c r="B7" s="3" t="s">
        <v>259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1</v>
      </c>
      <c r="L7" s="47">
        <v>0</v>
      </c>
      <c r="M7" s="4">
        <v>0</v>
      </c>
      <c r="N7" s="4">
        <v>0</v>
      </c>
      <c r="O7" s="5">
        <f t="shared" si="0"/>
        <v>1</v>
      </c>
    </row>
    <row r="8" spans="1:15" ht="33.75" customHeight="1" x14ac:dyDescent="0.25">
      <c r="A8" s="10">
        <f t="shared" si="1"/>
        <v>4</v>
      </c>
      <c r="B8" s="3" t="s">
        <v>260</v>
      </c>
      <c r="C8" s="4">
        <v>8</v>
      </c>
      <c r="D8" s="4">
        <v>12</v>
      </c>
      <c r="E8" s="4">
        <v>12</v>
      </c>
      <c r="F8" s="4">
        <v>1</v>
      </c>
      <c r="G8" s="4">
        <v>0</v>
      </c>
      <c r="H8" s="4">
        <v>2</v>
      </c>
      <c r="I8" s="4">
        <v>8</v>
      </c>
      <c r="J8" s="4">
        <v>0</v>
      </c>
      <c r="K8" s="4">
        <v>8</v>
      </c>
      <c r="L8" s="47">
        <v>9</v>
      </c>
      <c r="M8" s="4">
        <v>4</v>
      </c>
      <c r="N8" s="4">
        <v>4</v>
      </c>
      <c r="O8" s="5">
        <f t="shared" si="0"/>
        <v>68</v>
      </c>
    </row>
    <row r="9" spans="1:15" ht="33.75" customHeight="1" x14ac:dyDescent="0.25">
      <c r="A9" s="10">
        <f t="shared" si="1"/>
        <v>5</v>
      </c>
      <c r="B9" s="3" t="s">
        <v>261</v>
      </c>
      <c r="C9" s="4">
        <v>4</v>
      </c>
      <c r="D9" s="4">
        <v>4</v>
      </c>
      <c r="E9" s="4">
        <v>5</v>
      </c>
      <c r="F9" s="4">
        <v>1</v>
      </c>
      <c r="G9" s="4">
        <v>0</v>
      </c>
      <c r="H9" s="4">
        <v>2</v>
      </c>
      <c r="I9" s="4">
        <v>2</v>
      </c>
      <c r="J9" s="4">
        <v>0</v>
      </c>
      <c r="K9" s="4">
        <v>9</v>
      </c>
      <c r="L9" s="47">
        <v>2</v>
      </c>
      <c r="M9" s="4">
        <v>0</v>
      </c>
      <c r="N9" s="4">
        <v>0</v>
      </c>
      <c r="O9" s="5">
        <f t="shared" si="0"/>
        <v>29</v>
      </c>
    </row>
    <row r="10" spans="1:15" ht="33.75" customHeight="1" x14ac:dyDescent="0.25">
      <c r="A10" s="10">
        <f t="shared" si="1"/>
        <v>6</v>
      </c>
      <c r="B10" s="3" t="s">
        <v>262</v>
      </c>
      <c r="C10" s="4">
        <v>12</v>
      </c>
      <c r="D10" s="4">
        <v>16</v>
      </c>
      <c r="E10" s="4">
        <v>17</v>
      </c>
      <c r="F10" s="4">
        <v>2</v>
      </c>
      <c r="G10" s="4">
        <v>0</v>
      </c>
      <c r="H10" s="4">
        <v>4</v>
      </c>
      <c r="I10" s="4">
        <v>10</v>
      </c>
      <c r="J10" s="4">
        <v>0</v>
      </c>
      <c r="K10" s="4">
        <v>17</v>
      </c>
      <c r="L10" s="47">
        <v>11</v>
      </c>
      <c r="M10" s="4">
        <v>4</v>
      </c>
      <c r="N10" s="4">
        <v>4</v>
      </c>
      <c r="O10" s="5">
        <f t="shared" si="0"/>
        <v>97</v>
      </c>
    </row>
    <row r="11" spans="1:15" ht="33.75" customHeight="1" x14ac:dyDescent="0.25">
      <c r="A11" s="10">
        <f t="shared" si="1"/>
        <v>7</v>
      </c>
      <c r="B11" s="3" t="s">
        <v>263</v>
      </c>
      <c r="C11" s="4">
        <v>8</v>
      </c>
      <c r="D11" s="4">
        <v>13</v>
      </c>
      <c r="E11" s="4">
        <v>13</v>
      </c>
      <c r="F11" s="4">
        <v>5</v>
      </c>
      <c r="G11" s="4">
        <v>1</v>
      </c>
      <c r="H11" s="4">
        <v>8</v>
      </c>
      <c r="I11" s="4">
        <v>12</v>
      </c>
      <c r="J11" s="4">
        <v>2</v>
      </c>
      <c r="K11" s="4">
        <v>21</v>
      </c>
      <c r="L11" s="47">
        <v>13</v>
      </c>
      <c r="M11" s="4">
        <v>4</v>
      </c>
      <c r="N11" s="4">
        <v>4</v>
      </c>
      <c r="O11" s="5">
        <f t="shared" si="0"/>
        <v>104</v>
      </c>
    </row>
    <row r="12" spans="1:15" ht="33.75" customHeight="1" x14ac:dyDescent="0.25">
      <c r="A12" s="10">
        <f t="shared" si="1"/>
        <v>8</v>
      </c>
      <c r="B12" s="3" t="s">
        <v>264</v>
      </c>
      <c r="C12" s="4">
        <v>8</v>
      </c>
      <c r="D12" s="4">
        <v>13</v>
      </c>
      <c r="E12" s="4">
        <v>13</v>
      </c>
      <c r="F12" s="4">
        <v>5</v>
      </c>
      <c r="G12" s="4">
        <v>3</v>
      </c>
      <c r="H12" s="4">
        <v>8</v>
      </c>
      <c r="I12" s="4">
        <v>12</v>
      </c>
      <c r="J12" s="4">
        <v>2</v>
      </c>
      <c r="K12" s="4">
        <v>21</v>
      </c>
      <c r="L12" s="47">
        <v>13</v>
      </c>
      <c r="M12" s="4">
        <v>4</v>
      </c>
      <c r="N12" s="4">
        <v>6</v>
      </c>
      <c r="O12" s="5">
        <f t="shared" si="0"/>
        <v>108</v>
      </c>
    </row>
    <row r="13" spans="1:15" ht="33.75" customHeight="1" x14ac:dyDescent="0.25">
      <c r="A13" s="10">
        <f t="shared" si="1"/>
        <v>9</v>
      </c>
      <c r="B13" s="3" t="s">
        <v>265</v>
      </c>
      <c r="C13" s="4">
        <v>0</v>
      </c>
      <c r="D13" s="9">
        <v>2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2</v>
      </c>
      <c r="L13" s="47">
        <v>3</v>
      </c>
      <c r="M13" s="4">
        <v>0</v>
      </c>
      <c r="N13" s="4">
        <v>0</v>
      </c>
      <c r="O13" s="5">
        <f t="shared" si="0"/>
        <v>7</v>
      </c>
    </row>
    <row r="14" spans="1:15" ht="33.75" customHeight="1" x14ac:dyDescent="0.25">
      <c r="A14" s="10">
        <f t="shared" si="1"/>
        <v>10</v>
      </c>
      <c r="B14" s="3" t="s">
        <v>266</v>
      </c>
      <c r="C14" s="4">
        <v>3</v>
      </c>
      <c r="D14" s="4">
        <v>11</v>
      </c>
      <c r="E14" s="4">
        <v>6</v>
      </c>
      <c r="F14" s="4">
        <v>1</v>
      </c>
      <c r="G14" s="4">
        <v>0</v>
      </c>
      <c r="H14" s="4">
        <v>10</v>
      </c>
      <c r="I14" s="4">
        <v>5</v>
      </c>
      <c r="J14" s="4">
        <v>9</v>
      </c>
      <c r="K14" s="4">
        <v>2</v>
      </c>
      <c r="L14" s="47">
        <v>6</v>
      </c>
      <c r="M14" s="4">
        <v>1</v>
      </c>
      <c r="N14" s="4">
        <v>3</v>
      </c>
      <c r="O14" s="5">
        <f t="shared" si="0"/>
        <v>57</v>
      </c>
    </row>
    <row r="15" spans="1:15" ht="33.75" customHeight="1" x14ac:dyDescent="0.25">
      <c r="A15" s="10">
        <f t="shared" si="1"/>
        <v>11</v>
      </c>
      <c r="B15" s="3" t="s">
        <v>267</v>
      </c>
      <c r="C15" s="4">
        <v>9</v>
      </c>
      <c r="D15" s="4">
        <v>12</v>
      </c>
      <c r="E15" s="4">
        <v>13</v>
      </c>
      <c r="F15" s="4">
        <v>2</v>
      </c>
      <c r="G15" s="4">
        <v>0</v>
      </c>
      <c r="H15" s="4">
        <v>10</v>
      </c>
      <c r="I15" s="4">
        <v>5</v>
      </c>
      <c r="J15" s="4">
        <v>9</v>
      </c>
      <c r="K15" s="4">
        <v>7</v>
      </c>
      <c r="L15" s="47">
        <v>13</v>
      </c>
      <c r="M15" s="4">
        <v>2</v>
      </c>
      <c r="N15" s="4">
        <v>3</v>
      </c>
      <c r="O15" s="5">
        <f t="shared" si="0"/>
        <v>85</v>
      </c>
    </row>
    <row r="16" spans="1:15" ht="30" customHeight="1" x14ac:dyDescent="0.25">
      <c r="A16" s="1">
        <f t="shared" si="1"/>
        <v>12</v>
      </c>
      <c r="B16" s="1" t="s">
        <v>268</v>
      </c>
      <c r="C16" s="1"/>
      <c r="D16" s="1"/>
      <c r="E16" s="1"/>
      <c r="F16" s="1"/>
      <c r="G16" s="1"/>
      <c r="H16" s="1"/>
      <c r="I16" s="1"/>
      <c r="J16" s="1"/>
      <c r="K16" s="1"/>
      <c r="L16" s="48"/>
      <c r="M16" s="1"/>
      <c r="N16" s="1"/>
      <c r="O16" s="1"/>
    </row>
    <row r="17" spans="1:15" ht="33.75" customHeight="1" x14ac:dyDescent="0.25">
      <c r="A17" s="10">
        <f t="shared" ref="A17:A20" si="2">+A16+0.1</f>
        <v>12.1</v>
      </c>
      <c r="B17" s="3" t="s">
        <v>269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7">
        <v>0</v>
      </c>
      <c r="M17" s="4">
        <v>0</v>
      </c>
      <c r="N17" s="4">
        <v>0</v>
      </c>
      <c r="O17" s="5">
        <f t="shared" ref="O17:O20" si="3">SUM(C17:N17)</f>
        <v>0</v>
      </c>
    </row>
    <row r="18" spans="1:15" ht="33.75" customHeight="1" x14ac:dyDescent="0.25">
      <c r="A18" s="10">
        <f t="shared" si="2"/>
        <v>12.2</v>
      </c>
      <c r="B18" s="3" t="s">
        <v>270</v>
      </c>
      <c r="C18" s="4">
        <v>121</v>
      </c>
      <c r="D18" s="4">
        <v>73</v>
      </c>
      <c r="E18" s="4">
        <v>24</v>
      </c>
      <c r="F18" s="4">
        <v>8</v>
      </c>
      <c r="G18" s="4">
        <v>31</v>
      </c>
      <c r="H18" s="4">
        <v>75</v>
      </c>
      <c r="I18" s="4">
        <v>123</v>
      </c>
      <c r="J18" s="4">
        <v>314</v>
      </c>
      <c r="K18" s="4">
        <v>425</v>
      </c>
      <c r="L18" s="47">
        <v>501</v>
      </c>
      <c r="M18" s="4">
        <v>752</v>
      </c>
      <c r="N18" s="4">
        <v>678</v>
      </c>
      <c r="O18" s="5">
        <f t="shared" si="3"/>
        <v>3125</v>
      </c>
    </row>
    <row r="19" spans="1:15" ht="33.75" customHeight="1" x14ac:dyDescent="0.25">
      <c r="A19" s="10">
        <f t="shared" si="2"/>
        <v>12.299999999999999</v>
      </c>
      <c r="B19" s="8" t="s">
        <v>271</v>
      </c>
      <c r="C19" s="4">
        <v>18</v>
      </c>
      <c r="D19" s="9">
        <v>20</v>
      </c>
      <c r="E19" s="4">
        <v>22</v>
      </c>
      <c r="F19" s="4">
        <v>22</v>
      </c>
      <c r="G19" s="4">
        <v>21</v>
      </c>
      <c r="H19" s="4">
        <v>22</v>
      </c>
      <c r="I19" s="4">
        <v>24</v>
      </c>
      <c r="J19" s="4">
        <v>21</v>
      </c>
      <c r="K19" s="4">
        <v>22</v>
      </c>
      <c r="L19" s="47">
        <v>22</v>
      </c>
      <c r="M19" s="4">
        <v>20</v>
      </c>
      <c r="N19" s="4">
        <v>24</v>
      </c>
      <c r="O19" s="5">
        <f t="shared" si="3"/>
        <v>258</v>
      </c>
    </row>
    <row r="20" spans="1:15" ht="33.75" customHeight="1" x14ac:dyDescent="0.25">
      <c r="A20" s="10">
        <f t="shared" si="2"/>
        <v>12.399999999999999</v>
      </c>
      <c r="B20" s="3" t="s">
        <v>272</v>
      </c>
      <c r="C20" s="4">
        <v>2</v>
      </c>
      <c r="D20" s="4">
        <v>14</v>
      </c>
      <c r="E20" s="4">
        <v>18</v>
      </c>
      <c r="F20" s="4">
        <v>10</v>
      </c>
      <c r="G20" s="4">
        <v>0</v>
      </c>
      <c r="H20" s="4">
        <v>2</v>
      </c>
      <c r="I20" s="4">
        <v>2</v>
      </c>
      <c r="J20" s="4">
        <v>0</v>
      </c>
      <c r="K20" s="4">
        <v>0</v>
      </c>
      <c r="L20" s="47">
        <v>0</v>
      </c>
      <c r="M20" s="4">
        <v>2</v>
      </c>
      <c r="N20" s="4">
        <v>2</v>
      </c>
      <c r="O20" s="5">
        <f t="shared" si="3"/>
        <v>52</v>
      </c>
    </row>
    <row r="21" spans="1:15" ht="15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5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5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5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5.7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5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5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15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15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5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5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ht="15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15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5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15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baseColWidth="10" defaultColWidth="14.42578125" defaultRowHeight="15" customHeight="1" x14ac:dyDescent="0.25"/>
  <cols>
    <col min="1" max="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39598"/>
    <pageSetUpPr fitToPage="1"/>
  </sheetPr>
  <dimension ref="A1:O100"/>
  <sheetViews>
    <sheetView topLeftCell="D1" workbookViewId="0">
      <selection activeCell="J14" sqref="J14"/>
    </sheetView>
  </sheetViews>
  <sheetFormatPr baseColWidth="10" defaultColWidth="14.42578125" defaultRowHeight="15" customHeight="1" x14ac:dyDescent="0.25"/>
  <cols>
    <col min="1" max="1" width="8.42578125" customWidth="1"/>
    <col min="2" max="2" width="34.28515625" customWidth="1"/>
    <col min="3" max="3" width="12.42578125" customWidth="1"/>
    <col min="4" max="4" width="14.42578125" customWidth="1"/>
    <col min="5" max="5" width="12.85546875" customWidth="1"/>
    <col min="6" max="6" width="11.5703125" customWidth="1"/>
    <col min="7" max="7" width="12" customWidth="1"/>
    <col min="8" max="8" width="11.5703125" customWidth="1"/>
    <col min="9" max="9" width="11" customWidth="1"/>
    <col min="10" max="10" width="13.42578125" customWidth="1"/>
    <col min="11" max="11" width="17.42578125" customWidth="1"/>
    <col min="12" max="12" width="14.42578125" customWidth="1"/>
    <col min="13" max="13" width="17.28515625" customWidth="1"/>
    <col min="14" max="14" width="16.42578125" customWidth="1"/>
    <col min="15" max="15" width="12.85546875" customWidth="1"/>
  </cols>
  <sheetData>
    <row r="1" spans="1:15" ht="32.25" customHeight="1" x14ac:dyDescent="0.25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32.25" customHeight="1" x14ac:dyDescent="0.25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1:15" ht="39.75" customHeight="1" x14ac:dyDescent="0.25">
      <c r="A3" s="63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</row>
    <row r="4" spans="1:15" ht="40.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43.5" customHeight="1" x14ac:dyDescent="0.25">
      <c r="A5" s="2">
        <v>1</v>
      </c>
      <c r="B5" s="3" t="s">
        <v>17</v>
      </c>
      <c r="C5" s="4">
        <v>12</v>
      </c>
      <c r="D5" s="4">
        <v>7</v>
      </c>
      <c r="E5" s="4">
        <v>4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1</v>
      </c>
      <c r="L5" s="4">
        <v>1</v>
      </c>
      <c r="M5" s="4">
        <v>3</v>
      </c>
      <c r="N5" s="4">
        <v>7</v>
      </c>
      <c r="O5" s="5">
        <f>SUM(C5:N5)</f>
        <v>35</v>
      </c>
    </row>
    <row r="6" spans="1:15" ht="15.7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.7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5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5.7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5.7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5.7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.7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5.7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5.7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.7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.7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5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5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5.7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5.7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5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5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5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5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5.7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5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5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15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15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5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5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ht="15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15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5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15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" footer="0"/>
  <pageSetup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00"/>
  <sheetViews>
    <sheetView topLeftCell="G16" workbookViewId="0">
      <selection activeCell="R8" sqref="R8"/>
    </sheetView>
  </sheetViews>
  <sheetFormatPr baseColWidth="10" defaultColWidth="14.42578125" defaultRowHeight="15" customHeight="1" x14ac:dyDescent="0.25"/>
  <cols>
    <col min="1" max="1" width="8.42578125" customWidth="1"/>
    <col min="2" max="2" width="49.28515625" customWidth="1"/>
    <col min="3" max="10" width="16.5703125" customWidth="1"/>
    <col min="11" max="11" width="18" customWidth="1"/>
    <col min="12" max="12" width="16.5703125" customWidth="1"/>
    <col min="13" max="13" width="18" customWidth="1"/>
    <col min="14" max="14" width="17.140625" customWidth="1"/>
    <col min="15" max="15" width="17.7109375" customWidth="1"/>
  </cols>
  <sheetData>
    <row r="1" spans="1:15" ht="32.25" customHeight="1" x14ac:dyDescent="0.25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32.25" customHeight="1" x14ac:dyDescent="0.25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1:15" ht="39.75" customHeight="1" x14ac:dyDescent="0.25">
      <c r="A3" s="63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</row>
    <row r="4" spans="1:15" ht="40.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54.75" customHeight="1" x14ac:dyDescent="0.25">
      <c r="A5" s="7">
        <v>1</v>
      </c>
      <c r="B5" s="8" t="s">
        <v>18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52">
        <v>0</v>
      </c>
      <c r="M5" s="9">
        <v>0</v>
      </c>
      <c r="N5" s="9">
        <v>0</v>
      </c>
      <c r="O5" s="5">
        <f t="shared" ref="O5:O7" si="0">SUM(C5:N5)</f>
        <v>0</v>
      </c>
    </row>
    <row r="6" spans="1:15" ht="15.75" customHeight="1" x14ac:dyDescent="0.25">
      <c r="A6" s="7">
        <f t="shared" ref="A6:A8" si="1">+A5+1</f>
        <v>2</v>
      </c>
      <c r="B6" s="8" t="s">
        <v>19</v>
      </c>
      <c r="C6" s="9">
        <v>0</v>
      </c>
      <c r="D6" s="9">
        <v>22</v>
      </c>
      <c r="E6" s="9">
        <v>10</v>
      </c>
      <c r="F6" s="9">
        <v>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52">
        <v>4</v>
      </c>
      <c r="M6" s="9">
        <v>76</v>
      </c>
      <c r="N6" s="9">
        <v>68</v>
      </c>
      <c r="O6" s="5">
        <f t="shared" si="0"/>
        <v>182</v>
      </c>
    </row>
    <row r="7" spans="1:15" ht="30" customHeight="1" x14ac:dyDescent="0.25">
      <c r="A7" s="7">
        <f t="shared" si="1"/>
        <v>3</v>
      </c>
      <c r="B7" s="8" t="s">
        <v>20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52">
        <v>0</v>
      </c>
      <c r="M7" s="9">
        <v>0</v>
      </c>
      <c r="N7" s="9">
        <v>0</v>
      </c>
      <c r="O7" s="5">
        <f t="shared" si="0"/>
        <v>0</v>
      </c>
    </row>
    <row r="8" spans="1:15" ht="30" customHeight="1" x14ac:dyDescent="0.25">
      <c r="A8" s="1">
        <f t="shared" si="1"/>
        <v>4</v>
      </c>
      <c r="B8" s="1" t="s">
        <v>21</v>
      </c>
      <c r="C8" s="1"/>
      <c r="D8" s="1"/>
      <c r="E8" s="1"/>
      <c r="F8" s="1"/>
      <c r="G8" s="1"/>
      <c r="H8" s="1"/>
      <c r="I8" s="1"/>
      <c r="J8" s="1"/>
      <c r="K8" s="1"/>
      <c r="L8" s="48"/>
      <c r="M8" s="1"/>
      <c r="N8" s="1"/>
      <c r="O8" s="1"/>
    </row>
    <row r="9" spans="1:15" ht="30" customHeight="1" x14ac:dyDescent="0.25">
      <c r="A9" s="10">
        <f t="shared" ref="A9:A11" si="2">+A8+0.1</f>
        <v>4.0999999999999996</v>
      </c>
      <c r="B9" s="3" t="s">
        <v>22</v>
      </c>
      <c r="C9" s="4">
        <v>155</v>
      </c>
      <c r="D9" s="4">
        <v>145</v>
      </c>
      <c r="E9" s="4">
        <v>155</v>
      </c>
      <c r="F9" s="4">
        <v>150</v>
      </c>
      <c r="G9" s="4">
        <v>155</v>
      </c>
      <c r="H9" s="4">
        <v>150</v>
      </c>
      <c r="I9" s="4">
        <v>155</v>
      </c>
      <c r="J9" s="4">
        <v>155</v>
      </c>
      <c r="K9" s="4">
        <v>150</v>
      </c>
      <c r="L9" s="47">
        <v>155</v>
      </c>
      <c r="M9" s="4">
        <v>150</v>
      </c>
      <c r="N9" s="4">
        <v>155</v>
      </c>
      <c r="O9" s="5">
        <f t="shared" ref="O9:O11" si="3">SUM(C9:N9)</f>
        <v>1830</v>
      </c>
    </row>
    <row r="10" spans="1:15" ht="30" customHeight="1" x14ac:dyDescent="0.25">
      <c r="A10" s="10">
        <f t="shared" si="2"/>
        <v>4.1999999999999993</v>
      </c>
      <c r="B10" s="3" t="s">
        <v>23</v>
      </c>
      <c r="C10" s="4">
        <v>31</v>
      </c>
      <c r="D10" s="4">
        <v>29</v>
      </c>
      <c r="E10" s="4">
        <v>31</v>
      </c>
      <c r="F10" s="4">
        <v>30</v>
      </c>
      <c r="G10" s="4">
        <v>31</v>
      </c>
      <c r="H10" s="4">
        <v>30</v>
      </c>
      <c r="I10" s="4">
        <v>31</v>
      </c>
      <c r="J10" s="4">
        <v>31</v>
      </c>
      <c r="K10" s="4">
        <v>30</v>
      </c>
      <c r="L10" s="47">
        <v>31</v>
      </c>
      <c r="M10" s="4">
        <v>30</v>
      </c>
      <c r="N10" s="4">
        <v>31</v>
      </c>
      <c r="O10" s="5">
        <f t="shared" si="3"/>
        <v>366</v>
      </c>
    </row>
    <row r="11" spans="1:15" ht="30" customHeight="1" x14ac:dyDescent="0.25">
      <c r="A11" s="10">
        <f t="shared" si="2"/>
        <v>4.2999999999999989</v>
      </c>
      <c r="B11" s="11" t="s">
        <v>24</v>
      </c>
      <c r="C11" s="5">
        <f>SUM(C9:C10)</f>
        <v>186</v>
      </c>
      <c r="D11" s="4">
        <v>174</v>
      </c>
      <c r="E11" s="5">
        <v>186</v>
      </c>
      <c r="F11" s="5">
        <v>180</v>
      </c>
      <c r="G11" s="5">
        <v>186</v>
      </c>
      <c r="H11" s="5">
        <v>180</v>
      </c>
      <c r="I11" s="5">
        <v>186</v>
      </c>
      <c r="J11" s="5">
        <v>186</v>
      </c>
      <c r="K11" s="5">
        <v>180</v>
      </c>
      <c r="L11" s="49">
        <v>186</v>
      </c>
      <c r="M11" s="5">
        <v>180</v>
      </c>
      <c r="N11" s="5">
        <v>186</v>
      </c>
      <c r="O11" s="5">
        <f t="shared" si="3"/>
        <v>2196</v>
      </c>
    </row>
    <row r="12" spans="1:15" ht="30" customHeight="1" x14ac:dyDescent="0.25">
      <c r="A12" s="1">
        <f>+A8+1</f>
        <v>5</v>
      </c>
      <c r="B12" s="1" t="s">
        <v>25</v>
      </c>
      <c r="C12" s="1"/>
      <c r="D12" s="1"/>
      <c r="E12" s="1"/>
      <c r="F12" s="1"/>
      <c r="G12" s="1"/>
      <c r="H12" s="1"/>
      <c r="I12" s="1"/>
      <c r="J12" s="1"/>
      <c r="K12" s="1"/>
      <c r="L12" s="48"/>
      <c r="M12" s="1"/>
      <c r="N12" s="1"/>
      <c r="O12" s="1"/>
    </row>
    <row r="13" spans="1:15" ht="30" customHeight="1" x14ac:dyDescent="0.25">
      <c r="A13" s="7">
        <f t="shared" ref="A13:A15" si="4">+A12+0.1</f>
        <v>5.0999999999999996</v>
      </c>
      <c r="B13" s="8" t="s">
        <v>26</v>
      </c>
      <c r="C13" s="9">
        <v>628</v>
      </c>
      <c r="D13" s="9">
        <v>789</v>
      </c>
      <c r="E13" s="9">
        <v>418</v>
      </c>
      <c r="F13" s="9">
        <v>529</v>
      </c>
      <c r="G13" s="9">
        <v>645</v>
      </c>
      <c r="H13" s="9">
        <v>756</v>
      </c>
      <c r="I13" s="9">
        <v>825</v>
      </c>
      <c r="J13" s="9">
        <v>879</v>
      </c>
      <c r="K13" s="9">
        <v>842</v>
      </c>
      <c r="L13" s="52">
        <v>963</v>
      </c>
      <c r="M13" s="9">
        <v>989</v>
      </c>
      <c r="N13" s="9">
        <v>1013</v>
      </c>
      <c r="O13" s="5">
        <f t="shared" ref="O13:O15" si="5">SUM(C13:N13)</f>
        <v>9276</v>
      </c>
    </row>
    <row r="14" spans="1:15" ht="30" customHeight="1" x14ac:dyDescent="0.25">
      <c r="A14" s="7">
        <f t="shared" si="4"/>
        <v>5.1999999999999993</v>
      </c>
      <c r="B14" s="8" t="s">
        <v>27</v>
      </c>
      <c r="C14" s="9">
        <v>39</v>
      </c>
      <c r="D14" s="9">
        <v>29</v>
      </c>
      <c r="E14" s="9">
        <v>13</v>
      </c>
      <c r="F14" s="9">
        <v>12</v>
      </c>
      <c r="G14" s="9">
        <v>5</v>
      </c>
      <c r="H14" s="9">
        <v>5</v>
      </c>
      <c r="I14" s="9">
        <v>13</v>
      </c>
      <c r="J14" s="9">
        <v>3</v>
      </c>
      <c r="K14" s="9">
        <v>14</v>
      </c>
      <c r="L14" s="52">
        <v>27</v>
      </c>
      <c r="M14" s="9">
        <v>18</v>
      </c>
      <c r="N14" s="9">
        <v>16</v>
      </c>
      <c r="O14" s="5">
        <f t="shared" si="5"/>
        <v>194</v>
      </c>
    </row>
    <row r="15" spans="1:15" ht="30" customHeight="1" x14ac:dyDescent="0.25">
      <c r="A15" s="7">
        <f t="shared" si="4"/>
        <v>5.2999999999999989</v>
      </c>
      <c r="B15" s="8" t="s">
        <v>28</v>
      </c>
      <c r="C15" s="9">
        <v>39</v>
      </c>
      <c r="D15" s="9">
        <v>29</v>
      </c>
      <c r="E15" s="9">
        <v>13</v>
      </c>
      <c r="F15" s="9">
        <v>12</v>
      </c>
      <c r="G15" s="9">
        <v>5</v>
      </c>
      <c r="H15" s="9">
        <v>5</v>
      </c>
      <c r="I15" s="9">
        <v>13</v>
      </c>
      <c r="J15" s="9">
        <v>3</v>
      </c>
      <c r="K15" s="9">
        <v>14</v>
      </c>
      <c r="L15" s="52">
        <v>27</v>
      </c>
      <c r="M15" s="9">
        <v>18</v>
      </c>
      <c r="N15" s="9">
        <v>16</v>
      </c>
      <c r="O15" s="5">
        <f t="shared" si="5"/>
        <v>194</v>
      </c>
    </row>
    <row r="16" spans="1:15" ht="30" customHeight="1" x14ac:dyDescent="0.25">
      <c r="A16" s="1">
        <f>+A12+1</f>
        <v>6</v>
      </c>
      <c r="B16" s="1" t="s">
        <v>29</v>
      </c>
      <c r="C16" s="1"/>
      <c r="D16" s="1"/>
      <c r="E16" s="1"/>
      <c r="F16" s="1"/>
      <c r="G16" s="1"/>
      <c r="H16" s="1"/>
      <c r="I16" s="1"/>
      <c r="J16" s="1"/>
      <c r="K16" s="1"/>
      <c r="L16" s="48"/>
      <c r="M16" s="1"/>
      <c r="N16" s="1"/>
      <c r="O16" s="1"/>
    </row>
    <row r="17" spans="1:15" ht="30" customHeight="1" x14ac:dyDescent="0.25">
      <c r="A17" s="7">
        <f t="shared" ref="A17:A20" si="6">+A16+0.1</f>
        <v>6.1</v>
      </c>
      <c r="B17" s="8" t="s">
        <v>30</v>
      </c>
      <c r="C17" s="9">
        <v>606</v>
      </c>
      <c r="D17" s="9">
        <v>601</v>
      </c>
      <c r="E17" s="9">
        <v>655</v>
      </c>
      <c r="F17" s="9">
        <v>187</v>
      </c>
      <c r="G17" s="9">
        <v>463</v>
      </c>
      <c r="H17" s="9">
        <v>592</v>
      </c>
      <c r="I17" s="9">
        <v>659</v>
      </c>
      <c r="J17" s="9">
        <v>672</v>
      </c>
      <c r="K17" s="9">
        <v>709</v>
      </c>
      <c r="L17" s="52">
        <v>941</v>
      </c>
      <c r="M17" s="9">
        <v>1009</v>
      </c>
      <c r="N17" s="9">
        <v>920</v>
      </c>
      <c r="O17" s="5">
        <f t="shared" ref="O17:O20" si="7">SUM(C17:N17)</f>
        <v>8014</v>
      </c>
    </row>
    <row r="18" spans="1:15" ht="30" customHeight="1" x14ac:dyDescent="0.25">
      <c r="A18" s="7">
        <f t="shared" si="6"/>
        <v>6.1999999999999993</v>
      </c>
      <c r="B18" s="8" t="s">
        <v>31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52">
        <v>31</v>
      </c>
      <c r="M18" s="9">
        <v>0</v>
      </c>
      <c r="N18" s="9">
        <v>135</v>
      </c>
      <c r="O18" s="5">
        <f t="shared" si="7"/>
        <v>166</v>
      </c>
    </row>
    <row r="19" spans="1:15" ht="30" customHeight="1" x14ac:dyDescent="0.25">
      <c r="A19" s="7">
        <f t="shared" si="6"/>
        <v>6.2999999999999989</v>
      </c>
      <c r="B19" s="8" t="s">
        <v>32</v>
      </c>
      <c r="C19" s="9">
        <v>0</v>
      </c>
      <c r="D19" s="9">
        <v>0</v>
      </c>
      <c r="E19" s="9">
        <v>2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52">
        <v>1</v>
      </c>
      <c r="M19" s="9">
        <v>0</v>
      </c>
      <c r="N19" s="9">
        <v>0</v>
      </c>
      <c r="O19" s="5">
        <f t="shared" si="7"/>
        <v>3</v>
      </c>
    </row>
    <row r="20" spans="1:15" ht="30" customHeight="1" x14ac:dyDescent="0.25">
      <c r="A20" s="7">
        <f t="shared" si="6"/>
        <v>6.3999999999999986</v>
      </c>
      <c r="B20" s="8" t="s">
        <v>33</v>
      </c>
      <c r="C20" s="9">
        <v>1</v>
      </c>
      <c r="D20" s="9">
        <v>3</v>
      </c>
      <c r="E20" s="9">
        <v>2</v>
      </c>
      <c r="F20" s="9">
        <v>2</v>
      </c>
      <c r="G20" s="9">
        <v>0</v>
      </c>
      <c r="H20" s="9">
        <v>1</v>
      </c>
      <c r="I20" s="9">
        <v>22</v>
      </c>
      <c r="J20" s="9">
        <v>15</v>
      </c>
      <c r="K20" s="9">
        <v>72</v>
      </c>
      <c r="L20" s="52">
        <v>12</v>
      </c>
      <c r="M20" s="9">
        <v>8</v>
      </c>
      <c r="N20" s="12">
        <v>18</v>
      </c>
      <c r="O20" s="5">
        <f t="shared" si="7"/>
        <v>156</v>
      </c>
    </row>
    <row r="21" spans="1:15" ht="30" customHeight="1" x14ac:dyDescent="0.25">
      <c r="A21" s="1">
        <f>+A16+1</f>
        <v>7</v>
      </c>
      <c r="B21" s="1" t="s">
        <v>34</v>
      </c>
      <c r="C21" s="1"/>
      <c r="D21" s="1"/>
      <c r="E21" s="1"/>
      <c r="F21" s="1"/>
      <c r="G21" s="1"/>
      <c r="H21" s="1"/>
      <c r="I21" s="1"/>
      <c r="J21" s="1"/>
      <c r="K21" s="1"/>
      <c r="L21" s="48"/>
      <c r="M21" s="1"/>
      <c r="N21" s="1"/>
      <c r="O21" s="1"/>
    </row>
    <row r="22" spans="1:15" ht="30" customHeight="1" x14ac:dyDescent="0.25">
      <c r="A22" s="7">
        <f t="shared" ref="A22:A29" si="8">+A21+0.1</f>
        <v>7.1</v>
      </c>
      <c r="B22" s="8" t="s">
        <v>35</v>
      </c>
      <c r="C22" s="13">
        <v>65817.710000000006</v>
      </c>
      <c r="D22" s="14">
        <v>56645.760000000002</v>
      </c>
      <c r="E22" s="14">
        <v>43874.1</v>
      </c>
      <c r="F22" s="14">
        <v>5907.84</v>
      </c>
      <c r="G22" s="14">
        <v>13118.92</v>
      </c>
      <c r="H22" s="14">
        <v>22328.16</v>
      </c>
      <c r="I22" s="14">
        <v>31450.560000000001</v>
      </c>
      <c r="J22" s="14">
        <v>21716.880000000001</v>
      </c>
      <c r="K22" s="14">
        <v>31006.16</v>
      </c>
      <c r="L22" s="53">
        <v>35021.440000000002</v>
      </c>
      <c r="M22" s="14">
        <v>25542.720000000001</v>
      </c>
      <c r="N22" s="14">
        <v>17201.14</v>
      </c>
      <c r="O22" s="15">
        <f t="shared" ref="O22:O29" si="9">SUM(C22:N22)</f>
        <v>369631.39</v>
      </c>
    </row>
    <row r="23" spans="1:15" ht="30" customHeight="1" x14ac:dyDescent="0.25">
      <c r="A23" s="7">
        <f t="shared" si="8"/>
        <v>7.1999999999999993</v>
      </c>
      <c r="B23" s="8" t="s">
        <v>36</v>
      </c>
      <c r="C23" s="14">
        <v>30322.639999999999</v>
      </c>
      <c r="D23" s="14">
        <v>26639.46</v>
      </c>
      <c r="E23" s="14">
        <v>21952.25</v>
      </c>
      <c r="F23" s="14">
        <v>15115.62</v>
      </c>
      <c r="G23" s="14">
        <v>22489.26</v>
      </c>
      <c r="H23" s="14">
        <v>28899.75</v>
      </c>
      <c r="I23" s="14">
        <v>1985.34</v>
      </c>
      <c r="J23" s="14">
        <v>1065.82</v>
      </c>
      <c r="K23" s="14">
        <v>1338.83</v>
      </c>
      <c r="L23" s="53">
        <v>1165.53</v>
      </c>
      <c r="M23" s="14">
        <v>834.75</v>
      </c>
      <c r="N23" s="14">
        <v>1197.19</v>
      </c>
      <c r="O23" s="15">
        <f t="shared" si="9"/>
        <v>153006.43999999997</v>
      </c>
    </row>
    <row r="24" spans="1:15" ht="30" customHeight="1" x14ac:dyDescent="0.25">
      <c r="A24" s="7">
        <f t="shared" si="8"/>
        <v>7.2999999999999989</v>
      </c>
      <c r="B24" s="8" t="s">
        <v>37</v>
      </c>
      <c r="C24" s="14">
        <v>24732.400000000001</v>
      </c>
      <c r="D24" s="14">
        <v>28225.119999999999</v>
      </c>
      <c r="E24" s="14">
        <v>21907.759999999998</v>
      </c>
      <c r="F24" s="14">
        <v>15485.21</v>
      </c>
      <c r="G24" s="14">
        <v>18075.48</v>
      </c>
      <c r="H24" s="14">
        <v>23540.16</v>
      </c>
      <c r="I24" s="14">
        <v>1008.32</v>
      </c>
      <c r="J24" s="14">
        <v>982.09</v>
      </c>
      <c r="K24" s="14">
        <v>1411.93</v>
      </c>
      <c r="L24" s="53">
        <v>1162.5</v>
      </c>
      <c r="M24" s="14">
        <v>6971.92</v>
      </c>
      <c r="N24" s="14">
        <v>7270.15</v>
      </c>
      <c r="O24" s="15">
        <f t="shared" si="9"/>
        <v>150773.03999999998</v>
      </c>
    </row>
    <row r="25" spans="1:15" ht="30" customHeight="1" x14ac:dyDescent="0.25">
      <c r="A25" s="7">
        <f t="shared" si="8"/>
        <v>7.3999999999999986</v>
      </c>
      <c r="B25" s="8" t="s">
        <v>38</v>
      </c>
      <c r="C25" s="14">
        <v>146695.12</v>
      </c>
      <c r="D25" s="14">
        <v>133974.29</v>
      </c>
      <c r="E25" s="14">
        <v>123449.88</v>
      </c>
      <c r="F25" s="14">
        <v>90191.84</v>
      </c>
      <c r="G25" s="14">
        <v>123630.24</v>
      </c>
      <c r="H25" s="14">
        <v>151865.69</v>
      </c>
      <c r="I25" s="14">
        <v>130667.52</v>
      </c>
      <c r="J25" s="14">
        <v>121284.63</v>
      </c>
      <c r="K25" s="14">
        <v>154993.84</v>
      </c>
      <c r="L25" s="53">
        <v>125889.12</v>
      </c>
      <c r="M25" s="14">
        <v>107904.96000000001</v>
      </c>
      <c r="N25" s="14">
        <v>131970.72</v>
      </c>
      <c r="O25" s="15">
        <f t="shared" si="9"/>
        <v>1542517.8499999999</v>
      </c>
    </row>
    <row r="26" spans="1:15" ht="30" customHeight="1" x14ac:dyDescent="0.25">
      <c r="A26" s="7">
        <f t="shared" si="8"/>
        <v>7.4999999999999982</v>
      </c>
      <c r="B26" s="8" t="s">
        <v>39</v>
      </c>
      <c r="C26" s="14">
        <v>147076.96</v>
      </c>
      <c r="D26" s="14">
        <v>325027.48</v>
      </c>
      <c r="E26" s="14">
        <v>277422.82</v>
      </c>
      <c r="F26" s="14">
        <v>14226.71</v>
      </c>
      <c r="G26" s="14">
        <v>0</v>
      </c>
      <c r="H26" s="14">
        <v>32206.05</v>
      </c>
      <c r="I26" s="14">
        <v>4016.55</v>
      </c>
      <c r="J26" s="14">
        <v>112.62</v>
      </c>
      <c r="K26" s="14">
        <v>2327.34</v>
      </c>
      <c r="L26" s="53">
        <v>3979.01</v>
      </c>
      <c r="M26" s="14">
        <v>4204.24</v>
      </c>
      <c r="N26" s="14">
        <v>13888.93</v>
      </c>
      <c r="O26" s="15">
        <f t="shared" si="9"/>
        <v>824488.71000000008</v>
      </c>
    </row>
    <row r="27" spans="1:15" ht="30" customHeight="1" x14ac:dyDescent="0.25">
      <c r="A27" s="7">
        <f t="shared" si="8"/>
        <v>7.5999999999999979</v>
      </c>
      <c r="B27" s="8" t="s">
        <v>40</v>
      </c>
      <c r="C27" s="14">
        <v>1213.1600000000001</v>
      </c>
      <c r="D27" s="14"/>
      <c r="E27" s="14">
        <v>1289.31</v>
      </c>
      <c r="F27" s="14">
        <v>0</v>
      </c>
      <c r="G27" s="14">
        <v>0</v>
      </c>
      <c r="H27" s="14"/>
      <c r="I27" s="14"/>
      <c r="J27" s="14"/>
      <c r="K27" s="14"/>
      <c r="L27" s="53"/>
      <c r="M27" s="14"/>
      <c r="N27" s="14"/>
      <c r="O27" s="15">
        <f t="shared" si="9"/>
        <v>2502.4700000000003</v>
      </c>
    </row>
    <row r="28" spans="1:15" ht="30" customHeight="1" x14ac:dyDescent="0.25">
      <c r="A28" s="7">
        <f t="shared" si="8"/>
        <v>7.6999999999999975</v>
      </c>
      <c r="B28" s="8" t="s">
        <v>41</v>
      </c>
      <c r="C28" s="14">
        <v>4180</v>
      </c>
      <c r="D28" s="14">
        <v>4180</v>
      </c>
      <c r="E28" s="14">
        <v>4128</v>
      </c>
      <c r="F28" s="14">
        <v>3250</v>
      </c>
      <c r="G28" s="14">
        <v>0</v>
      </c>
      <c r="H28" s="14"/>
      <c r="I28" s="14"/>
      <c r="J28" s="14"/>
      <c r="K28" s="14"/>
      <c r="L28" s="53">
        <v>150000</v>
      </c>
      <c r="M28" s="14"/>
      <c r="N28" s="14"/>
      <c r="O28" s="15">
        <f t="shared" si="9"/>
        <v>165738</v>
      </c>
    </row>
    <row r="29" spans="1:15" ht="30" customHeight="1" x14ac:dyDescent="0.25">
      <c r="A29" s="16">
        <f t="shared" si="8"/>
        <v>7.7999999999999972</v>
      </c>
      <c r="B29" s="11" t="s">
        <v>42</v>
      </c>
      <c r="C29" s="15">
        <f t="shared" ref="C29:F29" si="10">SUM(C22:C28)</f>
        <v>420037.98999999993</v>
      </c>
      <c r="D29" s="15">
        <f t="shared" si="10"/>
        <v>574692.11</v>
      </c>
      <c r="E29" s="15">
        <f t="shared" si="10"/>
        <v>494024.12</v>
      </c>
      <c r="F29" s="15">
        <f t="shared" si="10"/>
        <v>144177.22</v>
      </c>
      <c r="G29" s="15">
        <v>177313.90000000002</v>
      </c>
      <c r="H29" s="15">
        <v>258839.81</v>
      </c>
      <c r="I29" s="15">
        <f>SUM(I22:I28)</f>
        <v>169128.28999999998</v>
      </c>
      <c r="J29" s="15">
        <v>145162.04</v>
      </c>
      <c r="K29" s="15">
        <f t="shared" ref="K29:L29" si="11">SUM(K22:K28)</f>
        <v>191078.1</v>
      </c>
      <c r="L29" s="54">
        <f t="shared" si="11"/>
        <v>317217.59999999998</v>
      </c>
      <c r="M29" s="15">
        <f t="shared" ref="M29" si="12">SUM(M22:M28)</f>
        <v>145458.59</v>
      </c>
      <c r="N29" s="15">
        <v>171528.13</v>
      </c>
      <c r="O29" s="15">
        <f t="shared" si="9"/>
        <v>3208657.9</v>
      </c>
    </row>
    <row r="30" spans="1:15" ht="10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.75" customHeight="1" x14ac:dyDescent="0.25">
      <c r="A31" s="17" t="s">
        <v>43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5" ht="21.75" customHeight="1" x14ac:dyDescent="0.25">
      <c r="A32" s="64" t="s">
        <v>44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2"/>
    </row>
    <row r="33" spans="1:15" ht="22.5" customHeight="1" x14ac:dyDescent="0.25">
      <c r="A33" s="64" t="s">
        <v>45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2"/>
    </row>
    <row r="34" spans="1:15" ht="32.25" customHeight="1" x14ac:dyDescent="0.25">
      <c r="A34" s="64" t="s">
        <v>46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2"/>
    </row>
    <row r="35" spans="1:15" ht="24.75" customHeight="1" x14ac:dyDescent="0.25">
      <c r="A35" s="64" t="s">
        <v>47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2"/>
    </row>
    <row r="36" spans="1:15" ht="33.75" customHeight="1" x14ac:dyDescent="0.25">
      <c r="A36" s="64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2"/>
    </row>
    <row r="37" spans="1:15" ht="15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15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5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15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</sheetData>
  <mergeCells count="8">
    <mergeCell ref="A1:O1"/>
    <mergeCell ref="A2:O2"/>
    <mergeCell ref="A3:O3"/>
    <mergeCell ref="A35:O35"/>
    <mergeCell ref="A36:O36"/>
    <mergeCell ref="A32:O32"/>
    <mergeCell ref="A33:O33"/>
    <mergeCell ref="A34:O34"/>
  </mergeCells>
  <pageMargins left="0.23622047244094491" right="0.23622047244094491" top="0.19685039370078741" bottom="0.19685039370078741" header="0" footer="0"/>
  <pageSetup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3734"/>
    <pageSetUpPr fitToPage="1"/>
  </sheetPr>
  <dimension ref="A1:O122"/>
  <sheetViews>
    <sheetView topLeftCell="E111" workbookViewId="0">
      <selection activeCell="R113" sqref="R113"/>
    </sheetView>
  </sheetViews>
  <sheetFormatPr baseColWidth="10" defaultColWidth="14.42578125" defaultRowHeight="15" customHeight="1" x14ac:dyDescent="0.25"/>
  <cols>
    <col min="1" max="1" width="8.42578125" customWidth="1"/>
    <col min="2" max="2" width="49.28515625" customWidth="1"/>
    <col min="3" max="4" width="17" customWidth="1"/>
    <col min="5" max="5" width="16.28515625" customWidth="1"/>
    <col min="6" max="6" width="15.85546875" customWidth="1"/>
    <col min="7" max="10" width="16.85546875" customWidth="1"/>
    <col min="11" max="11" width="20.140625" customWidth="1"/>
    <col min="12" max="12" width="15.85546875" customWidth="1"/>
    <col min="13" max="13" width="19" customWidth="1"/>
    <col min="14" max="14" width="18.28515625" customWidth="1"/>
    <col min="15" max="15" width="18.42578125" customWidth="1"/>
  </cols>
  <sheetData>
    <row r="1" spans="1:15" ht="32.25" customHeight="1" x14ac:dyDescent="0.25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32.25" customHeight="1" x14ac:dyDescent="0.25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1:15" ht="39.75" customHeight="1" x14ac:dyDescent="0.25">
      <c r="A3" s="63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</row>
    <row r="4" spans="1:15" ht="40.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33" customHeight="1" x14ac:dyDescent="0.25">
      <c r="A5" s="10">
        <v>1</v>
      </c>
      <c r="B5" s="3" t="s">
        <v>48</v>
      </c>
      <c r="C5" s="4">
        <v>7</v>
      </c>
      <c r="D5" s="4">
        <v>11</v>
      </c>
      <c r="E5" s="4">
        <v>6</v>
      </c>
      <c r="F5" s="4">
        <v>0</v>
      </c>
      <c r="G5" s="4">
        <v>0</v>
      </c>
      <c r="H5" s="4">
        <v>0</v>
      </c>
      <c r="I5" s="4">
        <v>1</v>
      </c>
      <c r="J5" s="4">
        <v>5</v>
      </c>
      <c r="K5" s="4">
        <v>3</v>
      </c>
      <c r="L5" s="47">
        <v>3</v>
      </c>
      <c r="M5" s="4">
        <v>4</v>
      </c>
      <c r="N5" s="4">
        <v>0</v>
      </c>
      <c r="O5" s="5">
        <f t="shared" ref="O5:O9" si="0">SUM(C5:N5)</f>
        <v>40</v>
      </c>
    </row>
    <row r="6" spans="1:15" ht="33" customHeight="1" x14ac:dyDescent="0.25">
      <c r="A6" s="10">
        <f>+A5+1</f>
        <v>2</v>
      </c>
      <c r="B6" s="3" t="s">
        <v>49</v>
      </c>
      <c r="C6" s="4">
        <v>1</v>
      </c>
      <c r="D6" s="4">
        <v>2</v>
      </c>
      <c r="E6" s="4">
        <v>1</v>
      </c>
      <c r="F6" s="4">
        <v>14</v>
      </c>
      <c r="G6" s="4">
        <v>10</v>
      </c>
      <c r="H6" s="4">
        <v>15</v>
      </c>
      <c r="I6" s="4">
        <v>20</v>
      </c>
      <c r="J6" s="4">
        <v>42</v>
      </c>
      <c r="K6" s="4">
        <v>30</v>
      </c>
      <c r="L6" s="52">
        <v>26</v>
      </c>
      <c r="M6" s="4">
        <v>36</v>
      </c>
      <c r="N6" s="4">
        <v>75</v>
      </c>
      <c r="O6" s="5">
        <f t="shared" si="0"/>
        <v>272</v>
      </c>
    </row>
    <row r="7" spans="1:15" ht="33" customHeight="1" x14ac:dyDescent="0.25">
      <c r="A7" s="10">
        <v>3</v>
      </c>
      <c r="B7" s="3" t="s">
        <v>50</v>
      </c>
      <c r="C7" s="4">
        <v>198</v>
      </c>
      <c r="D7" s="4">
        <v>203</v>
      </c>
      <c r="E7" s="4">
        <v>262</v>
      </c>
      <c r="F7" s="4">
        <v>90</v>
      </c>
      <c r="G7" s="4">
        <v>100</v>
      </c>
      <c r="H7" s="4">
        <v>215</v>
      </c>
      <c r="I7" s="4">
        <v>157</v>
      </c>
      <c r="J7" s="4">
        <v>225</v>
      </c>
      <c r="K7" s="4">
        <v>285</v>
      </c>
      <c r="L7" s="47">
        <v>300</v>
      </c>
      <c r="M7" s="4">
        <v>269</v>
      </c>
      <c r="N7" s="4">
        <v>390</v>
      </c>
      <c r="O7" s="5">
        <f t="shared" si="0"/>
        <v>2694</v>
      </c>
    </row>
    <row r="8" spans="1:15" ht="33" customHeight="1" x14ac:dyDescent="0.25">
      <c r="A8" s="10">
        <f t="shared" ref="A8:A10" si="1">+A7+1</f>
        <v>4</v>
      </c>
      <c r="B8" s="3" t="s">
        <v>51</v>
      </c>
      <c r="C8" s="4">
        <v>1350</v>
      </c>
      <c r="D8" s="4">
        <v>758</v>
      </c>
      <c r="E8" s="4">
        <v>383</v>
      </c>
      <c r="F8" s="4">
        <v>0</v>
      </c>
      <c r="G8" s="4">
        <v>0</v>
      </c>
      <c r="H8" s="4">
        <v>0</v>
      </c>
      <c r="I8" s="4">
        <v>92</v>
      </c>
      <c r="J8" s="4">
        <v>283</v>
      </c>
      <c r="K8" s="4">
        <v>435</v>
      </c>
      <c r="L8" s="47">
        <v>86</v>
      </c>
      <c r="M8" s="4">
        <v>180</v>
      </c>
      <c r="N8" s="4">
        <v>0</v>
      </c>
      <c r="O8" s="5">
        <f t="shared" si="0"/>
        <v>3567</v>
      </c>
    </row>
    <row r="9" spans="1:15" ht="33" customHeight="1" x14ac:dyDescent="0.25">
      <c r="A9" s="10">
        <f t="shared" si="1"/>
        <v>5</v>
      </c>
      <c r="B9" s="3" t="s">
        <v>52</v>
      </c>
      <c r="C9" s="4">
        <v>4</v>
      </c>
      <c r="D9" s="4">
        <v>10</v>
      </c>
      <c r="E9" s="4">
        <v>6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1</v>
      </c>
      <c r="L9" s="47">
        <v>0</v>
      </c>
      <c r="M9" s="4">
        <v>0</v>
      </c>
      <c r="N9" s="4">
        <v>0</v>
      </c>
      <c r="O9" s="5">
        <f t="shared" si="0"/>
        <v>21</v>
      </c>
    </row>
    <row r="10" spans="1:15" ht="30" customHeight="1" x14ac:dyDescent="0.25">
      <c r="A10" s="1">
        <f t="shared" si="1"/>
        <v>6</v>
      </c>
      <c r="B10" s="1" t="s">
        <v>53</v>
      </c>
      <c r="C10" s="1"/>
      <c r="D10" s="1"/>
      <c r="E10" s="1"/>
      <c r="F10" s="1"/>
      <c r="G10" s="1"/>
      <c r="H10" s="1"/>
      <c r="I10" s="1"/>
      <c r="J10" s="1"/>
      <c r="K10" s="1"/>
      <c r="L10" s="48"/>
      <c r="M10" s="1"/>
      <c r="N10" s="1"/>
      <c r="O10" s="1"/>
    </row>
    <row r="11" spans="1:15" ht="27" customHeight="1" x14ac:dyDescent="0.25">
      <c r="A11" s="7">
        <f t="shared" ref="A11:A16" si="2">+A10+0.1</f>
        <v>6.1</v>
      </c>
      <c r="B11" s="8" t="s">
        <v>54</v>
      </c>
      <c r="C11" s="9">
        <v>44</v>
      </c>
      <c r="D11" s="4">
        <v>54</v>
      </c>
      <c r="E11" s="4">
        <v>40</v>
      </c>
      <c r="F11" s="4">
        <v>5</v>
      </c>
      <c r="G11" s="9">
        <v>8</v>
      </c>
      <c r="H11" s="9">
        <v>35</v>
      </c>
      <c r="I11" s="9">
        <v>36</v>
      </c>
      <c r="J11" s="9">
        <v>24</v>
      </c>
      <c r="K11" s="9">
        <v>2</v>
      </c>
      <c r="L11" s="52">
        <v>2</v>
      </c>
      <c r="M11" s="9">
        <v>0</v>
      </c>
      <c r="N11" s="57">
        <v>1</v>
      </c>
      <c r="O11" s="5">
        <f t="shared" ref="O11:O16" si="3">SUM(C11:N11)</f>
        <v>251</v>
      </c>
    </row>
    <row r="12" spans="1:15" ht="27" customHeight="1" x14ac:dyDescent="0.25">
      <c r="A12" s="7">
        <f t="shared" si="2"/>
        <v>6.1999999999999993</v>
      </c>
      <c r="B12" s="8" t="s">
        <v>55</v>
      </c>
      <c r="C12" s="9">
        <v>5</v>
      </c>
      <c r="D12" s="4">
        <v>2</v>
      </c>
      <c r="E12" s="4">
        <v>2</v>
      </c>
      <c r="F12" s="4">
        <v>0</v>
      </c>
      <c r="G12" s="9">
        <v>1</v>
      </c>
      <c r="H12" s="9">
        <v>1</v>
      </c>
      <c r="I12" s="9">
        <v>1</v>
      </c>
      <c r="J12" s="9">
        <v>3</v>
      </c>
      <c r="K12" s="9">
        <v>1</v>
      </c>
      <c r="L12" s="52">
        <v>2</v>
      </c>
      <c r="M12" s="57">
        <v>0</v>
      </c>
      <c r="N12" s="57">
        <v>1</v>
      </c>
      <c r="O12" s="5">
        <f t="shared" si="3"/>
        <v>19</v>
      </c>
    </row>
    <row r="13" spans="1:15" ht="27" customHeight="1" x14ac:dyDescent="0.25">
      <c r="A13" s="7">
        <f t="shared" si="2"/>
        <v>6.2999999999999989</v>
      </c>
      <c r="B13" s="8" t="s">
        <v>56</v>
      </c>
      <c r="C13" s="9">
        <v>3</v>
      </c>
      <c r="D13" s="4">
        <v>2</v>
      </c>
      <c r="E13" s="9">
        <v>1</v>
      </c>
      <c r="F13" s="4">
        <v>1</v>
      </c>
      <c r="G13" s="9">
        <v>9</v>
      </c>
      <c r="H13" s="9">
        <v>14</v>
      </c>
      <c r="I13" s="9">
        <v>10</v>
      </c>
      <c r="J13" s="9">
        <v>0</v>
      </c>
      <c r="K13" s="4">
        <v>0</v>
      </c>
      <c r="L13" s="47">
        <v>0</v>
      </c>
      <c r="M13" s="57">
        <v>0</v>
      </c>
      <c r="N13" s="9">
        <v>0</v>
      </c>
      <c r="O13" s="5">
        <f t="shared" si="3"/>
        <v>40</v>
      </c>
    </row>
    <row r="14" spans="1:15" ht="27" customHeight="1" x14ac:dyDescent="0.25">
      <c r="A14" s="7">
        <f t="shared" si="2"/>
        <v>6.3999999999999986</v>
      </c>
      <c r="B14" s="8" t="s">
        <v>57</v>
      </c>
      <c r="C14" s="9">
        <v>4</v>
      </c>
      <c r="D14" s="4">
        <v>1</v>
      </c>
      <c r="E14" s="9">
        <v>1</v>
      </c>
      <c r="F14" s="4">
        <v>0</v>
      </c>
      <c r="G14" s="9">
        <v>0</v>
      </c>
      <c r="H14" s="9">
        <v>80</v>
      </c>
      <c r="I14" s="9">
        <v>36</v>
      </c>
      <c r="J14" s="9">
        <v>20</v>
      </c>
      <c r="K14" s="4">
        <v>11</v>
      </c>
      <c r="L14" s="47">
        <v>0</v>
      </c>
      <c r="M14" s="9">
        <v>0</v>
      </c>
      <c r="N14" s="9">
        <v>0</v>
      </c>
      <c r="O14" s="5">
        <f t="shared" si="3"/>
        <v>153</v>
      </c>
    </row>
    <row r="15" spans="1:15" ht="27" customHeight="1" x14ac:dyDescent="0.25">
      <c r="A15" s="7">
        <f t="shared" si="2"/>
        <v>6.4999999999999982</v>
      </c>
      <c r="B15" s="8" t="s">
        <v>58</v>
      </c>
      <c r="C15" s="9">
        <v>268</v>
      </c>
      <c r="D15" s="4">
        <v>278</v>
      </c>
      <c r="E15" s="4">
        <v>330</v>
      </c>
      <c r="F15" s="4">
        <v>99</v>
      </c>
      <c r="G15" s="9">
        <v>134</v>
      </c>
      <c r="H15" s="9">
        <v>280</v>
      </c>
      <c r="I15" s="9">
        <v>214</v>
      </c>
      <c r="J15" s="9">
        <v>279</v>
      </c>
      <c r="K15" s="9">
        <v>98</v>
      </c>
      <c r="L15" s="47">
        <v>59</v>
      </c>
      <c r="M15" s="9">
        <v>0</v>
      </c>
      <c r="N15" s="9">
        <v>50</v>
      </c>
      <c r="O15" s="5">
        <f t="shared" si="3"/>
        <v>2089</v>
      </c>
    </row>
    <row r="16" spans="1:15" ht="27" customHeight="1" x14ac:dyDescent="0.25">
      <c r="A16" s="7">
        <f t="shared" si="2"/>
        <v>6.5999999999999979</v>
      </c>
      <c r="B16" s="8" t="s">
        <v>59</v>
      </c>
      <c r="C16" s="9">
        <v>198</v>
      </c>
      <c r="D16" s="4">
        <v>203</v>
      </c>
      <c r="E16" s="9">
        <v>262</v>
      </c>
      <c r="F16" s="4">
        <v>90</v>
      </c>
      <c r="G16" s="9">
        <v>100</v>
      </c>
      <c r="H16" s="9">
        <v>215</v>
      </c>
      <c r="I16" s="9">
        <v>157</v>
      </c>
      <c r="J16" s="9">
        <v>225</v>
      </c>
      <c r="K16" s="9">
        <v>285</v>
      </c>
      <c r="L16" s="52">
        <v>300</v>
      </c>
      <c r="M16" s="9">
        <v>269</v>
      </c>
      <c r="N16" s="9">
        <v>390</v>
      </c>
      <c r="O16" s="5">
        <f t="shared" si="3"/>
        <v>2694</v>
      </c>
    </row>
    <row r="17" spans="1:15" ht="30" customHeight="1" x14ac:dyDescent="0.25">
      <c r="A17" s="1">
        <f>+A10+1</f>
        <v>7</v>
      </c>
      <c r="B17" s="1" t="s">
        <v>60</v>
      </c>
      <c r="C17" s="1"/>
      <c r="D17" s="1"/>
      <c r="E17" s="1"/>
      <c r="F17" s="1"/>
      <c r="G17" s="1"/>
      <c r="H17" s="1"/>
      <c r="I17" s="1"/>
      <c r="J17" s="1"/>
      <c r="K17" s="1"/>
      <c r="L17" s="48"/>
      <c r="M17" s="1"/>
      <c r="N17" s="1"/>
      <c r="O17" s="1"/>
    </row>
    <row r="18" spans="1:15" ht="24.75" customHeight="1" x14ac:dyDescent="0.25">
      <c r="A18" s="7">
        <f t="shared" ref="A18:A22" si="4">+A17+0.1</f>
        <v>7.1</v>
      </c>
      <c r="B18" s="8" t="s">
        <v>61</v>
      </c>
      <c r="C18" s="9">
        <v>16</v>
      </c>
      <c r="D18" s="9">
        <v>52</v>
      </c>
      <c r="E18" s="9">
        <v>52</v>
      </c>
      <c r="F18" s="9">
        <v>4</v>
      </c>
      <c r="G18" s="9">
        <v>9</v>
      </c>
      <c r="H18" s="9">
        <v>16</v>
      </c>
      <c r="I18" s="9">
        <v>2</v>
      </c>
      <c r="J18" s="9">
        <v>5</v>
      </c>
      <c r="K18" s="9">
        <v>80</v>
      </c>
      <c r="L18" s="52">
        <v>61</v>
      </c>
      <c r="M18" s="9">
        <v>91</v>
      </c>
      <c r="N18" s="9">
        <v>77</v>
      </c>
      <c r="O18" s="5">
        <f t="shared" ref="O18:O22" si="5">SUM(C18:N18)</f>
        <v>465</v>
      </c>
    </row>
    <row r="19" spans="1:15" ht="24.75" customHeight="1" x14ac:dyDescent="0.25">
      <c r="A19" s="7">
        <f t="shared" si="4"/>
        <v>7.1999999999999993</v>
      </c>
      <c r="B19" s="8" t="s">
        <v>62</v>
      </c>
      <c r="C19" s="9">
        <v>14</v>
      </c>
      <c r="D19" s="9">
        <v>44</v>
      </c>
      <c r="E19" s="9">
        <v>44</v>
      </c>
      <c r="F19" s="9">
        <v>2</v>
      </c>
      <c r="G19" s="9">
        <v>5</v>
      </c>
      <c r="H19" s="9">
        <v>13</v>
      </c>
      <c r="I19" s="9">
        <v>3</v>
      </c>
      <c r="J19" s="9">
        <v>4</v>
      </c>
      <c r="K19" s="9">
        <v>80</v>
      </c>
      <c r="L19" s="52">
        <v>61</v>
      </c>
      <c r="M19" s="9">
        <v>81</v>
      </c>
      <c r="N19" s="9">
        <v>60</v>
      </c>
      <c r="O19" s="5">
        <f t="shared" si="5"/>
        <v>411</v>
      </c>
    </row>
    <row r="20" spans="1:15" ht="24.75" customHeight="1" x14ac:dyDescent="0.25">
      <c r="A20" s="7">
        <f t="shared" si="4"/>
        <v>7.2999999999999989</v>
      </c>
      <c r="B20" s="8" t="s">
        <v>63</v>
      </c>
      <c r="C20" s="9">
        <v>2</v>
      </c>
      <c r="D20" s="9">
        <v>5</v>
      </c>
      <c r="E20" s="9">
        <v>5</v>
      </c>
      <c r="F20" s="9">
        <v>4</v>
      </c>
      <c r="G20" s="9">
        <v>8</v>
      </c>
      <c r="H20" s="9">
        <v>10</v>
      </c>
      <c r="I20" s="9">
        <v>0</v>
      </c>
      <c r="J20" s="9">
        <v>0</v>
      </c>
      <c r="K20" s="9">
        <v>0</v>
      </c>
      <c r="L20" s="52">
        <v>5</v>
      </c>
      <c r="M20" s="9">
        <v>3</v>
      </c>
      <c r="N20" s="9">
        <v>1</v>
      </c>
      <c r="O20" s="5">
        <f t="shared" si="5"/>
        <v>43</v>
      </c>
    </row>
    <row r="21" spans="1:15" ht="24.75" customHeight="1" x14ac:dyDescent="0.25">
      <c r="A21" s="7">
        <f t="shared" si="4"/>
        <v>7.3999999999999986</v>
      </c>
      <c r="B21" s="8" t="s">
        <v>64</v>
      </c>
      <c r="C21" s="9">
        <v>0</v>
      </c>
      <c r="D21" s="9">
        <v>15</v>
      </c>
      <c r="E21" s="9">
        <v>15</v>
      </c>
      <c r="F21" s="9">
        <v>0</v>
      </c>
      <c r="G21" s="9">
        <v>1</v>
      </c>
      <c r="H21" s="9">
        <v>41</v>
      </c>
      <c r="I21" s="9">
        <v>4</v>
      </c>
      <c r="J21" s="9">
        <v>0</v>
      </c>
      <c r="K21" s="9">
        <v>0</v>
      </c>
      <c r="L21" s="52">
        <v>1</v>
      </c>
      <c r="M21" s="9">
        <v>6</v>
      </c>
      <c r="N21" s="9">
        <v>0</v>
      </c>
      <c r="O21" s="5">
        <f t="shared" si="5"/>
        <v>83</v>
      </c>
    </row>
    <row r="22" spans="1:15" ht="24.75" customHeight="1" x14ac:dyDescent="0.25">
      <c r="A22" s="7">
        <f t="shared" si="4"/>
        <v>7.4999999999999982</v>
      </c>
      <c r="B22" s="8" t="s">
        <v>65</v>
      </c>
      <c r="C22" s="14">
        <v>0</v>
      </c>
      <c r="D22" s="19">
        <v>598038</v>
      </c>
      <c r="E22" s="14">
        <v>598038</v>
      </c>
      <c r="F22" s="14">
        <v>0</v>
      </c>
      <c r="G22" s="14">
        <v>17376</v>
      </c>
      <c r="H22" s="14">
        <v>1294512</v>
      </c>
      <c r="I22" s="14">
        <v>217160</v>
      </c>
      <c r="J22" s="14">
        <v>0</v>
      </c>
      <c r="K22" s="14">
        <v>0</v>
      </c>
      <c r="L22" s="55">
        <v>21720</v>
      </c>
      <c r="M22" s="14">
        <v>142696</v>
      </c>
      <c r="N22" s="19">
        <v>0</v>
      </c>
      <c r="O22" s="14">
        <f t="shared" si="5"/>
        <v>2889540</v>
      </c>
    </row>
    <row r="23" spans="1:15" ht="30" customHeight="1" x14ac:dyDescent="0.25">
      <c r="A23" s="1">
        <f>+A17+1</f>
        <v>8</v>
      </c>
      <c r="B23" s="1" t="s">
        <v>66</v>
      </c>
      <c r="C23" s="1"/>
      <c r="D23" s="1"/>
      <c r="E23" s="1"/>
      <c r="F23" s="1"/>
      <c r="G23" s="1"/>
      <c r="H23" s="1"/>
      <c r="I23" s="1"/>
      <c r="J23" s="1"/>
      <c r="K23" s="1"/>
      <c r="L23" s="48"/>
      <c r="M23" s="1"/>
      <c r="N23" s="1"/>
      <c r="O23" s="1"/>
    </row>
    <row r="24" spans="1:15" ht="22.5" customHeight="1" x14ac:dyDescent="0.25">
      <c r="A24" s="7">
        <f t="shared" ref="A24:A32" si="6">+A23+0.1</f>
        <v>8.1</v>
      </c>
      <c r="B24" s="8" t="s">
        <v>67</v>
      </c>
      <c r="C24" s="9">
        <v>121</v>
      </c>
      <c r="D24" s="9">
        <v>96</v>
      </c>
      <c r="E24" s="9">
        <v>115</v>
      </c>
      <c r="F24" s="9">
        <v>99</v>
      </c>
      <c r="G24" s="9">
        <v>100</v>
      </c>
      <c r="H24" s="9">
        <v>103</v>
      </c>
      <c r="I24" s="9">
        <v>85</v>
      </c>
      <c r="J24" s="9">
        <v>73</v>
      </c>
      <c r="K24" s="9">
        <v>84</v>
      </c>
      <c r="L24" s="52">
        <v>95</v>
      </c>
      <c r="M24" s="58">
        <v>118</v>
      </c>
      <c r="N24" s="9">
        <v>98</v>
      </c>
      <c r="O24" s="5">
        <f t="shared" ref="O24:O33" si="7">SUM(C24:N24)</f>
        <v>1187</v>
      </c>
    </row>
    <row r="25" spans="1:15" ht="22.5" customHeight="1" x14ac:dyDescent="0.25">
      <c r="A25" s="7">
        <f t="shared" si="6"/>
        <v>8.1999999999999993</v>
      </c>
      <c r="B25" s="8" t="s">
        <v>68</v>
      </c>
      <c r="C25" s="9">
        <v>10</v>
      </c>
      <c r="D25" s="9">
        <v>7</v>
      </c>
      <c r="E25" s="9">
        <v>2</v>
      </c>
      <c r="F25" s="9">
        <v>6</v>
      </c>
      <c r="G25" s="9">
        <v>9</v>
      </c>
      <c r="H25" s="9">
        <v>1</v>
      </c>
      <c r="I25" s="9">
        <v>6</v>
      </c>
      <c r="J25" s="9">
        <v>7</v>
      </c>
      <c r="K25" s="9">
        <v>15</v>
      </c>
      <c r="L25" s="52">
        <v>11</v>
      </c>
      <c r="M25" s="9">
        <v>9</v>
      </c>
      <c r="N25" s="9">
        <v>19</v>
      </c>
      <c r="O25" s="5">
        <f t="shared" si="7"/>
        <v>102</v>
      </c>
    </row>
    <row r="26" spans="1:15" ht="22.5" customHeight="1" x14ac:dyDescent="0.25">
      <c r="A26" s="7">
        <f t="shared" si="6"/>
        <v>8.2999999999999989</v>
      </c>
      <c r="B26" s="8" t="s">
        <v>69</v>
      </c>
      <c r="C26" s="9">
        <v>18</v>
      </c>
      <c r="D26" s="9">
        <v>15</v>
      </c>
      <c r="E26" s="9">
        <v>18</v>
      </c>
      <c r="F26" s="9">
        <v>13</v>
      </c>
      <c r="G26" s="9">
        <v>11</v>
      </c>
      <c r="H26" s="9">
        <v>22</v>
      </c>
      <c r="I26" s="9">
        <v>16</v>
      </c>
      <c r="J26" s="9">
        <v>10</v>
      </c>
      <c r="K26" s="9">
        <v>16</v>
      </c>
      <c r="L26" s="52">
        <v>19</v>
      </c>
      <c r="M26" s="9">
        <v>8</v>
      </c>
      <c r="N26" s="9">
        <v>18</v>
      </c>
      <c r="O26" s="5">
        <f t="shared" si="7"/>
        <v>184</v>
      </c>
    </row>
    <row r="27" spans="1:15" ht="22.5" customHeight="1" x14ac:dyDescent="0.25">
      <c r="A27" s="7">
        <f t="shared" si="6"/>
        <v>8.3999999999999986</v>
      </c>
      <c r="B27" s="8" t="s">
        <v>70</v>
      </c>
      <c r="C27" s="9">
        <v>0</v>
      </c>
      <c r="D27" s="9">
        <v>1</v>
      </c>
      <c r="E27" s="9">
        <v>0</v>
      </c>
      <c r="F27" s="9">
        <v>1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52">
        <v>0</v>
      </c>
      <c r="M27" s="9">
        <v>0</v>
      </c>
      <c r="N27" s="9">
        <v>0</v>
      </c>
      <c r="O27" s="5">
        <f t="shared" si="7"/>
        <v>2</v>
      </c>
    </row>
    <row r="28" spans="1:15" ht="22.5" customHeight="1" x14ac:dyDescent="0.25">
      <c r="A28" s="7">
        <f t="shared" si="6"/>
        <v>8.4999999999999982</v>
      </c>
      <c r="B28" s="8" t="s">
        <v>71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52">
        <v>0</v>
      </c>
      <c r="M28" s="9">
        <v>0</v>
      </c>
      <c r="N28" s="9">
        <v>0</v>
      </c>
      <c r="O28" s="5">
        <f t="shared" si="7"/>
        <v>0</v>
      </c>
    </row>
    <row r="29" spans="1:15" ht="22.5" customHeight="1" x14ac:dyDescent="0.25">
      <c r="A29" s="7">
        <f t="shared" si="6"/>
        <v>8.5999999999999979</v>
      </c>
      <c r="B29" s="8" t="s">
        <v>72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52">
        <v>0</v>
      </c>
      <c r="M29" s="9">
        <v>0</v>
      </c>
      <c r="N29" s="9">
        <v>0</v>
      </c>
      <c r="O29" s="5">
        <f t="shared" si="7"/>
        <v>0</v>
      </c>
    </row>
    <row r="30" spans="1:15" ht="22.5" customHeight="1" x14ac:dyDescent="0.25">
      <c r="A30" s="7">
        <f t="shared" si="6"/>
        <v>8.6999999999999975</v>
      </c>
      <c r="B30" s="8" t="s">
        <v>73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52">
        <v>0</v>
      </c>
      <c r="M30" s="9">
        <v>0</v>
      </c>
      <c r="N30" s="9">
        <v>0</v>
      </c>
      <c r="O30" s="5">
        <f t="shared" si="7"/>
        <v>0</v>
      </c>
    </row>
    <row r="31" spans="1:15" ht="22.5" customHeight="1" x14ac:dyDescent="0.25">
      <c r="A31" s="7">
        <f t="shared" si="6"/>
        <v>8.7999999999999972</v>
      </c>
      <c r="B31" s="8" t="s">
        <v>74</v>
      </c>
      <c r="C31" s="9">
        <v>2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52">
        <v>0</v>
      </c>
      <c r="M31" s="9">
        <v>0</v>
      </c>
      <c r="N31" s="9">
        <v>0</v>
      </c>
      <c r="O31" s="5">
        <f t="shared" si="7"/>
        <v>2</v>
      </c>
    </row>
    <row r="32" spans="1:15" ht="22.5" customHeight="1" x14ac:dyDescent="0.25">
      <c r="A32" s="7">
        <f t="shared" si="6"/>
        <v>8.8999999999999968</v>
      </c>
      <c r="B32" s="8" t="s">
        <v>75</v>
      </c>
      <c r="C32" s="9">
        <v>21</v>
      </c>
      <c r="D32" s="9">
        <v>20</v>
      </c>
      <c r="E32" s="9">
        <v>16</v>
      </c>
      <c r="F32" s="9">
        <v>15</v>
      </c>
      <c r="G32" s="9">
        <v>14</v>
      </c>
      <c r="H32" s="9">
        <v>14</v>
      </c>
      <c r="I32" s="9">
        <v>21</v>
      </c>
      <c r="J32" s="9">
        <v>6</v>
      </c>
      <c r="K32" s="9">
        <v>21</v>
      </c>
      <c r="L32" s="52">
        <v>26</v>
      </c>
      <c r="M32" s="9">
        <v>25</v>
      </c>
      <c r="N32" s="9">
        <v>23</v>
      </c>
      <c r="O32" s="5">
        <f t="shared" si="7"/>
        <v>222</v>
      </c>
    </row>
    <row r="33" spans="1:15" ht="22.5" customHeight="1" x14ac:dyDescent="0.25">
      <c r="A33" s="20">
        <v>8.1</v>
      </c>
      <c r="B33" s="11" t="s">
        <v>76</v>
      </c>
      <c r="C33" s="5"/>
      <c r="D33" s="5"/>
      <c r="E33" s="4"/>
      <c r="F33" s="5"/>
      <c r="G33" s="5"/>
      <c r="H33" s="5"/>
      <c r="I33" s="5"/>
      <c r="J33" s="5"/>
      <c r="K33" s="5"/>
      <c r="L33" s="49"/>
      <c r="M33" s="5"/>
      <c r="N33" s="5"/>
      <c r="O33" s="5">
        <f t="shared" si="7"/>
        <v>0</v>
      </c>
    </row>
    <row r="34" spans="1:15" ht="30" customHeight="1" x14ac:dyDescent="0.25">
      <c r="A34" s="1">
        <f>+A23+1</f>
        <v>9</v>
      </c>
      <c r="B34" s="1" t="s">
        <v>77</v>
      </c>
      <c r="C34" s="1"/>
      <c r="D34" s="1"/>
      <c r="E34" s="1"/>
      <c r="F34" s="1"/>
      <c r="G34" s="1"/>
      <c r="H34" s="1"/>
      <c r="I34" s="1"/>
      <c r="J34" s="1"/>
      <c r="K34" s="1"/>
      <c r="L34" s="48"/>
      <c r="M34" s="1"/>
      <c r="N34" s="1"/>
      <c r="O34" s="1"/>
    </row>
    <row r="35" spans="1:15" ht="26.25" customHeight="1" x14ac:dyDescent="0.25">
      <c r="A35" s="7">
        <f t="shared" ref="A35:A43" si="8">+A34+0.1</f>
        <v>9.1</v>
      </c>
      <c r="B35" s="8" t="s">
        <v>78</v>
      </c>
      <c r="C35" s="9">
        <v>29</v>
      </c>
      <c r="D35" s="9">
        <v>28</v>
      </c>
      <c r="E35" s="9">
        <v>25</v>
      </c>
      <c r="F35" s="9">
        <v>30</v>
      </c>
      <c r="G35" s="9">
        <v>31</v>
      </c>
      <c r="H35" s="9">
        <v>23</v>
      </c>
      <c r="I35" s="9">
        <v>26</v>
      </c>
      <c r="J35" s="9">
        <v>15</v>
      </c>
      <c r="K35" s="9">
        <v>18</v>
      </c>
      <c r="L35" s="52">
        <v>30</v>
      </c>
      <c r="M35" s="9">
        <v>27</v>
      </c>
      <c r="N35" s="9">
        <v>48</v>
      </c>
      <c r="O35" s="5">
        <f t="shared" ref="O35:O47" si="9">SUM(C35:N35)</f>
        <v>330</v>
      </c>
    </row>
    <row r="36" spans="1:15" ht="26.25" customHeight="1" x14ac:dyDescent="0.25">
      <c r="A36" s="7">
        <f t="shared" si="8"/>
        <v>9.1999999999999993</v>
      </c>
      <c r="B36" s="8" t="s">
        <v>79</v>
      </c>
      <c r="C36" s="9">
        <v>14</v>
      </c>
      <c r="D36" s="9">
        <v>7</v>
      </c>
      <c r="E36" s="9">
        <v>9</v>
      </c>
      <c r="F36" s="9">
        <v>7</v>
      </c>
      <c r="G36" s="9">
        <v>11</v>
      </c>
      <c r="H36" s="9">
        <v>7</v>
      </c>
      <c r="I36" s="9">
        <v>6</v>
      </c>
      <c r="J36" s="9">
        <v>9</v>
      </c>
      <c r="K36" s="9">
        <v>14</v>
      </c>
      <c r="L36" s="52">
        <v>14</v>
      </c>
      <c r="M36" s="9">
        <v>8</v>
      </c>
      <c r="N36" s="9">
        <v>13</v>
      </c>
      <c r="O36" s="5">
        <f t="shared" si="9"/>
        <v>119</v>
      </c>
    </row>
    <row r="37" spans="1:15" ht="26.25" customHeight="1" x14ac:dyDescent="0.25">
      <c r="A37" s="7">
        <f t="shared" si="8"/>
        <v>9.2999999999999989</v>
      </c>
      <c r="B37" s="8" t="s">
        <v>80</v>
      </c>
      <c r="C37" s="9">
        <v>3</v>
      </c>
      <c r="D37" s="9">
        <v>1</v>
      </c>
      <c r="E37" s="9">
        <v>5</v>
      </c>
      <c r="F37" s="9">
        <v>4</v>
      </c>
      <c r="G37" s="9">
        <v>3</v>
      </c>
      <c r="H37" s="9">
        <v>1</v>
      </c>
      <c r="I37" s="9">
        <v>3</v>
      </c>
      <c r="J37" s="9">
        <v>4</v>
      </c>
      <c r="K37" s="9">
        <v>2</v>
      </c>
      <c r="L37" s="52">
        <v>3</v>
      </c>
      <c r="M37" s="9">
        <v>4</v>
      </c>
      <c r="N37" s="9">
        <v>8</v>
      </c>
      <c r="O37" s="5">
        <f t="shared" si="9"/>
        <v>41</v>
      </c>
    </row>
    <row r="38" spans="1:15" ht="26.25" customHeight="1" x14ac:dyDescent="0.25">
      <c r="A38" s="7">
        <f t="shared" si="8"/>
        <v>9.3999999999999986</v>
      </c>
      <c r="B38" s="8" t="s">
        <v>81</v>
      </c>
      <c r="C38" s="9">
        <v>40</v>
      </c>
      <c r="D38" s="9">
        <v>31</v>
      </c>
      <c r="E38" s="9">
        <v>37</v>
      </c>
      <c r="F38" s="9">
        <v>46</v>
      </c>
      <c r="G38" s="9">
        <v>32</v>
      </c>
      <c r="H38" s="9">
        <v>34</v>
      </c>
      <c r="I38" s="9">
        <v>44</v>
      </c>
      <c r="J38" s="9">
        <v>32</v>
      </c>
      <c r="K38" s="9">
        <v>21</v>
      </c>
      <c r="L38" s="52">
        <v>67</v>
      </c>
      <c r="M38" s="9">
        <v>50</v>
      </c>
      <c r="N38" s="9">
        <v>110</v>
      </c>
      <c r="O38" s="5">
        <f t="shared" si="9"/>
        <v>544</v>
      </c>
    </row>
    <row r="39" spans="1:15" ht="26.25" customHeight="1" x14ac:dyDescent="0.25">
      <c r="A39" s="7">
        <f t="shared" si="8"/>
        <v>9.4999999999999982</v>
      </c>
      <c r="B39" s="8" t="s">
        <v>82</v>
      </c>
      <c r="C39" s="9">
        <v>5</v>
      </c>
      <c r="D39" s="9">
        <v>1</v>
      </c>
      <c r="E39" s="9">
        <v>3</v>
      </c>
      <c r="F39" s="9">
        <v>7</v>
      </c>
      <c r="G39" s="9">
        <v>9</v>
      </c>
      <c r="H39" s="9">
        <v>5</v>
      </c>
      <c r="I39" s="9">
        <v>9</v>
      </c>
      <c r="J39" s="9">
        <v>7</v>
      </c>
      <c r="K39" s="9">
        <v>6</v>
      </c>
      <c r="L39" s="52">
        <v>6</v>
      </c>
      <c r="M39" s="9">
        <v>16</v>
      </c>
      <c r="N39" s="9">
        <v>11</v>
      </c>
      <c r="O39" s="5">
        <f t="shared" si="9"/>
        <v>85</v>
      </c>
    </row>
    <row r="40" spans="1:15" ht="26.25" customHeight="1" x14ac:dyDescent="0.25">
      <c r="A40" s="7">
        <f t="shared" si="8"/>
        <v>9.5999999999999979</v>
      </c>
      <c r="B40" s="8" t="s">
        <v>83</v>
      </c>
      <c r="C40" s="9">
        <v>19</v>
      </c>
      <c r="D40" s="9">
        <v>15</v>
      </c>
      <c r="E40" s="9">
        <v>10</v>
      </c>
      <c r="F40" s="9">
        <v>15</v>
      </c>
      <c r="G40" s="9">
        <v>11</v>
      </c>
      <c r="H40" s="9">
        <v>16</v>
      </c>
      <c r="I40" s="9">
        <v>12</v>
      </c>
      <c r="J40" s="9">
        <v>16</v>
      </c>
      <c r="K40" s="9">
        <v>13</v>
      </c>
      <c r="L40" s="52">
        <v>9</v>
      </c>
      <c r="M40" s="9">
        <v>10</v>
      </c>
      <c r="N40" s="9">
        <v>20</v>
      </c>
      <c r="O40" s="5">
        <f t="shared" si="9"/>
        <v>166</v>
      </c>
    </row>
    <row r="41" spans="1:15" ht="26.25" customHeight="1" x14ac:dyDescent="0.25">
      <c r="A41" s="7">
        <f t="shared" si="8"/>
        <v>9.6999999999999975</v>
      </c>
      <c r="B41" s="8" t="s">
        <v>84</v>
      </c>
      <c r="C41" s="9">
        <v>2</v>
      </c>
      <c r="D41" s="9">
        <v>2</v>
      </c>
      <c r="E41" s="9">
        <v>3</v>
      </c>
      <c r="F41" s="9">
        <v>3</v>
      </c>
      <c r="G41" s="9">
        <v>1</v>
      </c>
      <c r="H41" s="9">
        <v>3</v>
      </c>
      <c r="I41" s="9">
        <v>1</v>
      </c>
      <c r="J41" s="9">
        <v>2</v>
      </c>
      <c r="K41" s="9">
        <v>0</v>
      </c>
      <c r="L41" s="52">
        <v>3</v>
      </c>
      <c r="M41" s="9">
        <v>2</v>
      </c>
      <c r="N41" s="9">
        <v>7</v>
      </c>
      <c r="O41" s="5">
        <f t="shared" si="9"/>
        <v>29</v>
      </c>
    </row>
    <row r="42" spans="1:15" ht="26.25" customHeight="1" x14ac:dyDescent="0.25">
      <c r="A42" s="7">
        <f t="shared" si="8"/>
        <v>9.7999999999999972</v>
      </c>
      <c r="B42" s="8" t="s">
        <v>85</v>
      </c>
      <c r="C42" s="9">
        <v>1</v>
      </c>
      <c r="D42" s="9">
        <v>5</v>
      </c>
      <c r="E42" s="9">
        <v>2</v>
      </c>
      <c r="F42" s="9">
        <v>9</v>
      </c>
      <c r="G42" s="9">
        <v>6</v>
      </c>
      <c r="H42" s="9">
        <v>4</v>
      </c>
      <c r="I42" s="9">
        <v>5</v>
      </c>
      <c r="J42" s="9">
        <v>5</v>
      </c>
      <c r="K42" s="9">
        <v>1</v>
      </c>
      <c r="L42" s="52">
        <v>5</v>
      </c>
      <c r="M42" s="9">
        <v>14</v>
      </c>
      <c r="N42" s="9">
        <v>4</v>
      </c>
      <c r="O42" s="5">
        <f t="shared" si="9"/>
        <v>61</v>
      </c>
    </row>
    <row r="43" spans="1:15" ht="26.25" customHeight="1" x14ac:dyDescent="0.25">
      <c r="A43" s="7">
        <f t="shared" si="8"/>
        <v>9.8999999999999968</v>
      </c>
      <c r="B43" s="8" t="s">
        <v>86</v>
      </c>
      <c r="C43" s="9">
        <v>0</v>
      </c>
      <c r="D43" s="9">
        <v>0</v>
      </c>
      <c r="E43" s="9">
        <v>0</v>
      </c>
      <c r="F43" s="9">
        <v>2</v>
      </c>
      <c r="G43" s="9">
        <v>1</v>
      </c>
      <c r="H43" s="9">
        <v>0</v>
      </c>
      <c r="I43" s="9">
        <v>3</v>
      </c>
      <c r="J43" s="9">
        <v>0</v>
      </c>
      <c r="K43" s="9">
        <v>0</v>
      </c>
      <c r="L43" s="52">
        <v>0</v>
      </c>
      <c r="M43" s="9">
        <v>3</v>
      </c>
      <c r="N43" s="9">
        <v>3</v>
      </c>
      <c r="O43" s="5">
        <f t="shared" si="9"/>
        <v>12</v>
      </c>
    </row>
    <row r="44" spans="1:15" ht="26.25" customHeight="1" x14ac:dyDescent="0.25">
      <c r="A44" s="20">
        <v>9.1</v>
      </c>
      <c r="B44" s="8" t="s">
        <v>87</v>
      </c>
      <c r="C44" s="9">
        <v>1</v>
      </c>
      <c r="D44" s="9">
        <v>5</v>
      </c>
      <c r="E44" s="9">
        <v>5</v>
      </c>
      <c r="F44" s="9">
        <v>5</v>
      </c>
      <c r="G44" s="9">
        <v>6</v>
      </c>
      <c r="H44" s="9">
        <v>8</v>
      </c>
      <c r="I44" s="9">
        <v>11</v>
      </c>
      <c r="J44" s="9">
        <v>2</v>
      </c>
      <c r="K44" s="9">
        <v>3</v>
      </c>
      <c r="L44" s="52">
        <v>3</v>
      </c>
      <c r="M44" s="9">
        <v>4</v>
      </c>
      <c r="N44" s="9">
        <v>3</v>
      </c>
      <c r="O44" s="5">
        <f t="shared" si="9"/>
        <v>56</v>
      </c>
    </row>
    <row r="45" spans="1:15" ht="26.25" customHeight="1" x14ac:dyDescent="0.25">
      <c r="A45" s="20">
        <v>9.1199999999999992</v>
      </c>
      <c r="B45" s="8" t="s">
        <v>88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52">
        <v>0</v>
      </c>
      <c r="M45" s="9">
        <v>2</v>
      </c>
      <c r="N45" s="9">
        <v>1</v>
      </c>
      <c r="O45" s="5">
        <f t="shared" si="9"/>
        <v>3</v>
      </c>
    </row>
    <row r="46" spans="1:15" ht="26.25" customHeight="1" x14ac:dyDescent="0.25">
      <c r="A46" s="20">
        <v>9.1300000000000008</v>
      </c>
      <c r="B46" s="8" t="s">
        <v>89</v>
      </c>
      <c r="C46" s="9">
        <v>0</v>
      </c>
      <c r="D46" s="9">
        <v>0</v>
      </c>
      <c r="E46" s="9">
        <v>2</v>
      </c>
      <c r="F46" s="9">
        <v>1</v>
      </c>
      <c r="G46" s="9">
        <v>0</v>
      </c>
      <c r="H46" s="9">
        <v>1</v>
      </c>
      <c r="I46" s="9">
        <v>0</v>
      </c>
      <c r="J46" s="9">
        <v>0</v>
      </c>
      <c r="K46" s="9">
        <v>0</v>
      </c>
      <c r="L46" s="52">
        <v>0</v>
      </c>
      <c r="M46" s="9">
        <v>1</v>
      </c>
      <c r="N46" s="9">
        <v>4</v>
      </c>
      <c r="O46" s="5">
        <f t="shared" si="9"/>
        <v>9</v>
      </c>
    </row>
    <row r="47" spans="1:15" ht="26.25" customHeight="1" x14ac:dyDescent="0.25">
      <c r="A47" s="20">
        <v>9.14</v>
      </c>
      <c r="B47" s="11" t="s">
        <v>76</v>
      </c>
      <c r="C47" s="5">
        <f t="shared" ref="C47:D47" si="10">SUM(C35:C46)</f>
        <v>114</v>
      </c>
      <c r="D47" s="5">
        <f t="shared" si="10"/>
        <v>95</v>
      </c>
      <c r="E47" s="5">
        <v>101</v>
      </c>
      <c r="F47" s="5">
        <f>SUM(F35:F46)</f>
        <v>129</v>
      </c>
      <c r="G47" s="5">
        <v>111</v>
      </c>
      <c r="H47" s="5">
        <v>102</v>
      </c>
      <c r="I47" s="5">
        <f>SUM(I35:I46)</f>
        <v>120</v>
      </c>
      <c r="J47" s="5">
        <v>92</v>
      </c>
      <c r="K47" s="5">
        <f t="shared" ref="K47:N47" si="11">SUM(K35:K46)</f>
        <v>78</v>
      </c>
      <c r="L47" s="49">
        <f t="shared" si="11"/>
        <v>140</v>
      </c>
      <c r="M47" s="5">
        <f t="shared" si="11"/>
        <v>141</v>
      </c>
      <c r="N47" s="5">
        <f t="shared" si="11"/>
        <v>232</v>
      </c>
      <c r="O47" s="5">
        <f t="shared" si="9"/>
        <v>1455</v>
      </c>
    </row>
    <row r="48" spans="1:15" ht="30" customHeight="1" x14ac:dyDescent="0.25">
      <c r="A48" s="1">
        <f>+A34+1</f>
        <v>10</v>
      </c>
      <c r="B48" s="1" t="s">
        <v>90</v>
      </c>
      <c r="C48" s="1"/>
      <c r="D48" s="1"/>
      <c r="E48" s="1"/>
      <c r="F48" s="1"/>
      <c r="G48" s="1"/>
      <c r="H48" s="1"/>
      <c r="I48" s="1"/>
      <c r="J48" s="1"/>
      <c r="K48" s="1"/>
      <c r="L48" s="48"/>
      <c r="M48" s="1"/>
      <c r="N48" s="1"/>
      <c r="O48" s="1"/>
    </row>
    <row r="49" spans="1:15" ht="27.75" customHeight="1" x14ac:dyDescent="0.25">
      <c r="A49" s="7">
        <f t="shared" ref="A49:A57" si="12">+A48+0.1</f>
        <v>10.1</v>
      </c>
      <c r="B49" s="8" t="s">
        <v>91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52">
        <v>0</v>
      </c>
      <c r="M49" s="9">
        <v>1</v>
      </c>
      <c r="N49" s="9">
        <v>0</v>
      </c>
      <c r="O49" s="5">
        <f t="shared" ref="O49:O60" si="13">SUM(C49:N49)</f>
        <v>1</v>
      </c>
    </row>
    <row r="50" spans="1:15" ht="27.75" customHeight="1" x14ac:dyDescent="0.25">
      <c r="A50" s="7">
        <f t="shared" si="12"/>
        <v>10.199999999999999</v>
      </c>
      <c r="B50" s="8" t="s">
        <v>92</v>
      </c>
      <c r="C50" s="9">
        <v>0</v>
      </c>
      <c r="D50" s="9">
        <v>1</v>
      </c>
      <c r="E50" s="9">
        <v>1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1</v>
      </c>
      <c r="L50" s="52">
        <v>1</v>
      </c>
      <c r="M50" s="9">
        <v>1</v>
      </c>
      <c r="N50" s="9">
        <v>1</v>
      </c>
      <c r="O50" s="5">
        <f t="shared" si="13"/>
        <v>6</v>
      </c>
    </row>
    <row r="51" spans="1:15" ht="27.75" customHeight="1" x14ac:dyDescent="0.25">
      <c r="A51" s="7">
        <f t="shared" si="12"/>
        <v>10.299999999999999</v>
      </c>
      <c r="B51" s="8" t="s">
        <v>93</v>
      </c>
      <c r="C51" s="9">
        <v>31</v>
      </c>
      <c r="D51" s="9">
        <v>34</v>
      </c>
      <c r="E51" s="9">
        <v>23</v>
      </c>
      <c r="F51" s="9">
        <v>26</v>
      </c>
      <c r="G51" s="9">
        <v>24</v>
      </c>
      <c r="H51" s="9">
        <v>31</v>
      </c>
      <c r="I51" s="9">
        <v>19</v>
      </c>
      <c r="J51" s="9">
        <v>31</v>
      </c>
      <c r="K51" s="9">
        <v>37</v>
      </c>
      <c r="L51" s="52">
        <v>35</v>
      </c>
      <c r="M51" s="9">
        <v>30</v>
      </c>
      <c r="N51" s="9">
        <v>33</v>
      </c>
      <c r="O51" s="5">
        <f t="shared" si="13"/>
        <v>354</v>
      </c>
    </row>
    <row r="52" spans="1:15" ht="27.75" customHeight="1" x14ac:dyDescent="0.25">
      <c r="A52" s="7">
        <f t="shared" si="12"/>
        <v>10.399999999999999</v>
      </c>
      <c r="B52" s="8" t="s">
        <v>94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52">
        <v>0</v>
      </c>
      <c r="M52" s="9">
        <v>0</v>
      </c>
      <c r="N52" s="9">
        <v>0</v>
      </c>
      <c r="O52" s="5">
        <f t="shared" si="13"/>
        <v>0</v>
      </c>
    </row>
    <row r="53" spans="1:15" ht="27.75" customHeight="1" x14ac:dyDescent="0.25">
      <c r="A53" s="7">
        <f t="shared" si="12"/>
        <v>10.499999999999998</v>
      </c>
      <c r="B53" s="8" t="s">
        <v>95</v>
      </c>
      <c r="C53" s="9">
        <v>1</v>
      </c>
      <c r="D53" s="9">
        <v>2</v>
      </c>
      <c r="E53" s="9">
        <v>7</v>
      </c>
      <c r="F53" s="9">
        <v>2</v>
      </c>
      <c r="G53" s="9">
        <v>2</v>
      </c>
      <c r="H53" s="9">
        <v>5</v>
      </c>
      <c r="I53" s="9">
        <v>5</v>
      </c>
      <c r="J53" s="9">
        <v>2</v>
      </c>
      <c r="K53" s="9">
        <v>1</v>
      </c>
      <c r="L53" s="52">
        <v>2</v>
      </c>
      <c r="M53" s="9">
        <v>6</v>
      </c>
      <c r="N53" s="9">
        <v>2</v>
      </c>
      <c r="O53" s="5">
        <f t="shared" si="13"/>
        <v>37</v>
      </c>
    </row>
    <row r="54" spans="1:15" ht="27.75" customHeight="1" x14ac:dyDescent="0.25">
      <c r="A54" s="7">
        <f t="shared" si="12"/>
        <v>10.599999999999998</v>
      </c>
      <c r="B54" s="8" t="s">
        <v>96</v>
      </c>
      <c r="C54" s="9">
        <v>0</v>
      </c>
      <c r="D54" s="9">
        <v>1</v>
      </c>
      <c r="E54" s="9">
        <v>2</v>
      </c>
      <c r="F54" s="9">
        <v>0</v>
      </c>
      <c r="G54" s="9">
        <v>0</v>
      </c>
      <c r="H54" s="9">
        <v>1</v>
      </c>
      <c r="I54" s="9">
        <v>0</v>
      </c>
      <c r="J54" s="9">
        <v>0</v>
      </c>
      <c r="K54" s="9">
        <v>0</v>
      </c>
      <c r="L54" s="52">
        <v>1</v>
      </c>
      <c r="M54" s="9">
        <v>1</v>
      </c>
      <c r="N54" s="9">
        <v>1</v>
      </c>
      <c r="O54" s="5">
        <f t="shared" si="13"/>
        <v>7</v>
      </c>
    </row>
    <row r="55" spans="1:15" ht="27.75" customHeight="1" x14ac:dyDescent="0.25">
      <c r="A55" s="7">
        <f t="shared" si="12"/>
        <v>10.699999999999998</v>
      </c>
      <c r="B55" s="8" t="s">
        <v>97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52">
        <v>0</v>
      </c>
      <c r="M55" s="9">
        <v>0</v>
      </c>
      <c r="N55" s="9">
        <v>0</v>
      </c>
      <c r="O55" s="5">
        <f t="shared" si="13"/>
        <v>0</v>
      </c>
    </row>
    <row r="56" spans="1:15" ht="32.25" customHeight="1" x14ac:dyDescent="0.25">
      <c r="A56" s="7">
        <f t="shared" si="12"/>
        <v>10.799999999999997</v>
      </c>
      <c r="B56" s="8" t="s">
        <v>98</v>
      </c>
      <c r="C56" s="9">
        <v>18</v>
      </c>
      <c r="D56" s="9">
        <v>17</v>
      </c>
      <c r="E56" s="9">
        <v>23</v>
      </c>
      <c r="F56" s="9">
        <v>9</v>
      </c>
      <c r="G56" s="9">
        <v>9</v>
      </c>
      <c r="H56" s="9">
        <v>19</v>
      </c>
      <c r="I56" s="9">
        <v>17</v>
      </c>
      <c r="J56" s="9">
        <v>5</v>
      </c>
      <c r="K56" s="9">
        <v>4</v>
      </c>
      <c r="L56" s="52">
        <v>13</v>
      </c>
      <c r="M56" s="9">
        <v>14</v>
      </c>
      <c r="N56" s="9">
        <v>10</v>
      </c>
      <c r="O56" s="5">
        <f t="shared" si="13"/>
        <v>158</v>
      </c>
    </row>
    <row r="57" spans="1:15" ht="28.5" customHeight="1" x14ac:dyDescent="0.25">
      <c r="A57" s="7">
        <f t="shared" si="12"/>
        <v>10.899999999999997</v>
      </c>
      <c r="B57" s="8" t="s">
        <v>99</v>
      </c>
      <c r="C57" s="9">
        <v>0</v>
      </c>
      <c r="D57" s="9">
        <v>2</v>
      </c>
      <c r="E57" s="9">
        <v>0</v>
      </c>
      <c r="F57" s="9">
        <v>0</v>
      </c>
      <c r="G57" s="9">
        <v>0</v>
      </c>
      <c r="H57" s="9">
        <v>0</v>
      </c>
      <c r="I57" s="9">
        <v>1</v>
      </c>
      <c r="J57" s="9">
        <v>0</v>
      </c>
      <c r="K57" s="9">
        <v>0</v>
      </c>
      <c r="L57" s="52">
        <v>0</v>
      </c>
      <c r="M57" s="9">
        <v>0</v>
      </c>
      <c r="N57" s="9">
        <v>4</v>
      </c>
      <c r="O57" s="5">
        <f t="shared" si="13"/>
        <v>7</v>
      </c>
    </row>
    <row r="58" spans="1:15" ht="28.5" customHeight="1" x14ac:dyDescent="0.25">
      <c r="A58" s="20">
        <v>10.1</v>
      </c>
      <c r="B58" s="8" t="s">
        <v>100</v>
      </c>
      <c r="C58" s="9">
        <v>7</v>
      </c>
      <c r="D58" s="9">
        <v>16</v>
      </c>
      <c r="E58" s="9">
        <v>1</v>
      </c>
      <c r="F58" s="9">
        <v>4</v>
      </c>
      <c r="G58" s="9">
        <v>4</v>
      </c>
      <c r="H58" s="9">
        <v>8</v>
      </c>
      <c r="I58" s="9">
        <v>8</v>
      </c>
      <c r="J58" s="9">
        <v>7</v>
      </c>
      <c r="K58" s="9">
        <v>7</v>
      </c>
      <c r="L58" s="52">
        <v>3</v>
      </c>
      <c r="M58" s="9">
        <v>4</v>
      </c>
      <c r="N58" s="9">
        <v>4</v>
      </c>
      <c r="O58" s="5">
        <f t="shared" si="13"/>
        <v>73</v>
      </c>
    </row>
    <row r="59" spans="1:15" ht="28.5" customHeight="1" x14ac:dyDescent="0.25">
      <c r="A59" s="20">
        <v>10.11</v>
      </c>
      <c r="B59" s="8" t="s">
        <v>101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4">
        <v>0</v>
      </c>
      <c r="J59" s="4">
        <v>0</v>
      </c>
      <c r="K59" s="9">
        <v>0</v>
      </c>
      <c r="L59" s="52">
        <v>0</v>
      </c>
      <c r="M59" s="9">
        <v>0</v>
      </c>
      <c r="N59" s="9">
        <v>1</v>
      </c>
      <c r="O59" s="5">
        <f t="shared" si="13"/>
        <v>1</v>
      </c>
    </row>
    <row r="60" spans="1:15" ht="32.25" customHeight="1" x14ac:dyDescent="0.25">
      <c r="A60" s="20">
        <v>10.119999999999999</v>
      </c>
      <c r="B60" s="11" t="s">
        <v>76</v>
      </c>
      <c r="C60" s="5">
        <f t="shared" ref="C60:D60" si="14">SUM(C49:C59)</f>
        <v>57</v>
      </c>
      <c r="D60" s="5">
        <f t="shared" si="14"/>
        <v>73</v>
      </c>
      <c r="E60" s="5">
        <v>57</v>
      </c>
      <c r="F60" s="5">
        <f>SUM(F49:F59)</f>
        <v>41</v>
      </c>
      <c r="G60" s="5">
        <v>39</v>
      </c>
      <c r="H60" s="5">
        <v>64</v>
      </c>
      <c r="I60" s="5">
        <f>SUM(I49:I59)</f>
        <v>50</v>
      </c>
      <c r="J60" s="5">
        <v>45</v>
      </c>
      <c r="K60" s="5">
        <f t="shared" ref="K60:M60" si="15">SUM(K49:K59)</f>
        <v>50</v>
      </c>
      <c r="L60" s="49">
        <f t="shared" si="15"/>
        <v>55</v>
      </c>
      <c r="M60" s="5">
        <f t="shared" si="15"/>
        <v>57</v>
      </c>
      <c r="N60" s="5">
        <f t="shared" ref="N60" si="16">SUM(N49:N59)</f>
        <v>56</v>
      </c>
      <c r="O60" s="5">
        <f t="shared" si="13"/>
        <v>644</v>
      </c>
    </row>
    <row r="61" spans="1:15" ht="30" customHeight="1" x14ac:dyDescent="0.25">
      <c r="A61" s="1">
        <f>+A48+1</f>
        <v>11</v>
      </c>
      <c r="B61" s="1" t="s">
        <v>102</v>
      </c>
      <c r="C61" s="1"/>
      <c r="D61" s="1"/>
      <c r="E61" s="1"/>
      <c r="F61" s="1"/>
      <c r="G61" s="1"/>
      <c r="H61" s="1"/>
      <c r="I61" s="1"/>
      <c r="J61" s="1"/>
      <c r="K61" s="1"/>
      <c r="L61" s="48"/>
      <c r="M61" s="1"/>
      <c r="N61" s="1"/>
      <c r="O61" s="1"/>
    </row>
    <row r="62" spans="1:15" ht="33" customHeight="1" x14ac:dyDescent="0.25">
      <c r="A62" s="7">
        <f t="shared" ref="A62:A70" si="17">+A61+0.1</f>
        <v>11.1</v>
      </c>
      <c r="B62" s="8" t="s">
        <v>103</v>
      </c>
      <c r="C62" s="9">
        <v>0</v>
      </c>
      <c r="D62" s="9">
        <v>1</v>
      </c>
      <c r="E62" s="9">
        <v>1</v>
      </c>
      <c r="F62" s="9">
        <v>2</v>
      </c>
      <c r="G62" s="9">
        <v>1</v>
      </c>
      <c r="H62" s="9">
        <v>0</v>
      </c>
      <c r="I62" s="9">
        <v>1</v>
      </c>
      <c r="J62" s="9">
        <v>4</v>
      </c>
      <c r="K62" s="9">
        <v>1</v>
      </c>
      <c r="L62" s="52">
        <v>1</v>
      </c>
      <c r="M62" s="9">
        <v>2</v>
      </c>
      <c r="N62" s="9">
        <v>1</v>
      </c>
      <c r="O62" s="5">
        <f t="shared" ref="O62:O93" si="18">SUM(C62:N62)</f>
        <v>15</v>
      </c>
    </row>
    <row r="63" spans="1:15" ht="28.5" customHeight="1" x14ac:dyDescent="0.25">
      <c r="A63" s="7">
        <f t="shared" si="17"/>
        <v>11.2</v>
      </c>
      <c r="B63" s="8" t="s">
        <v>104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52">
        <v>0</v>
      </c>
      <c r="M63" s="9">
        <v>0</v>
      </c>
      <c r="N63" s="9">
        <v>0</v>
      </c>
      <c r="O63" s="5">
        <f t="shared" si="18"/>
        <v>0</v>
      </c>
    </row>
    <row r="64" spans="1:15" ht="28.5" customHeight="1" x14ac:dyDescent="0.25">
      <c r="A64" s="7">
        <f t="shared" si="17"/>
        <v>11.299999999999999</v>
      </c>
      <c r="B64" s="8" t="s">
        <v>105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52">
        <v>0</v>
      </c>
      <c r="M64" s="9">
        <v>0</v>
      </c>
      <c r="N64" s="9">
        <v>0</v>
      </c>
      <c r="O64" s="5">
        <f t="shared" si="18"/>
        <v>0</v>
      </c>
    </row>
    <row r="65" spans="1:15" ht="33" customHeight="1" x14ac:dyDescent="0.25">
      <c r="A65" s="7">
        <f t="shared" si="17"/>
        <v>11.399999999999999</v>
      </c>
      <c r="B65" s="8" t="s">
        <v>106</v>
      </c>
      <c r="C65" s="9">
        <v>0</v>
      </c>
      <c r="D65" s="9">
        <v>0</v>
      </c>
      <c r="E65" s="9">
        <v>1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52">
        <v>0</v>
      </c>
      <c r="M65" s="9">
        <v>1</v>
      </c>
      <c r="N65" s="9">
        <v>1</v>
      </c>
      <c r="O65" s="5">
        <f t="shared" si="18"/>
        <v>3</v>
      </c>
    </row>
    <row r="66" spans="1:15" ht="33" customHeight="1" x14ac:dyDescent="0.25">
      <c r="A66" s="7">
        <f t="shared" si="17"/>
        <v>11.499999999999998</v>
      </c>
      <c r="B66" s="8" t="s">
        <v>107</v>
      </c>
      <c r="C66" s="9">
        <v>3</v>
      </c>
      <c r="D66" s="9">
        <v>2</v>
      </c>
      <c r="E66" s="9">
        <v>3</v>
      </c>
      <c r="F66" s="9">
        <v>2</v>
      </c>
      <c r="G66" s="9">
        <v>3</v>
      </c>
      <c r="H66" s="9">
        <v>7</v>
      </c>
      <c r="I66" s="9">
        <v>0</v>
      </c>
      <c r="J66" s="9">
        <v>2</v>
      </c>
      <c r="K66" s="9">
        <v>3</v>
      </c>
      <c r="L66" s="52">
        <v>5</v>
      </c>
      <c r="M66" s="9">
        <v>3</v>
      </c>
      <c r="N66" s="9">
        <v>3</v>
      </c>
      <c r="O66" s="5">
        <f t="shared" si="18"/>
        <v>36</v>
      </c>
    </row>
    <row r="67" spans="1:15" ht="33" customHeight="1" x14ac:dyDescent="0.25">
      <c r="A67" s="7">
        <f t="shared" si="17"/>
        <v>11.599999999999998</v>
      </c>
      <c r="B67" s="8" t="s">
        <v>108</v>
      </c>
      <c r="C67" s="9">
        <v>9</v>
      </c>
      <c r="D67" s="9">
        <v>8</v>
      </c>
      <c r="E67" s="9">
        <v>5</v>
      </c>
      <c r="F67" s="9">
        <v>4</v>
      </c>
      <c r="G67" s="9">
        <v>3</v>
      </c>
      <c r="H67" s="9">
        <v>1</v>
      </c>
      <c r="I67" s="9">
        <v>1</v>
      </c>
      <c r="J67" s="9">
        <v>3</v>
      </c>
      <c r="K67" s="9">
        <v>1</v>
      </c>
      <c r="L67" s="52">
        <v>2</v>
      </c>
      <c r="M67" s="9">
        <v>4</v>
      </c>
      <c r="N67" s="9">
        <v>4</v>
      </c>
      <c r="O67" s="5">
        <f t="shared" si="18"/>
        <v>45</v>
      </c>
    </row>
    <row r="68" spans="1:15" ht="27" customHeight="1" x14ac:dyDescent="0.25">
      <c r="A68" s="7">
        <f t="shared" si="17"/>
        <v>11.699999999999998</v>
      </c>
      <c r="B68" s="8" t="s">
        <v>109</v>
      </c>
      <c r="C68" s="9">
        <v>33</v>
      </c>
      <c r="D68" s="9">
        <v>19</v>
      </c>
      <c r="E68" s="9">
        <v>29</v>
      </c>
      <c r="F68" s="9">
        <v>19</v>
      </c>
      <c r="G68" s="9">
        <v>18</v>
      </c>
      <c r="H68" s="9">
        <v>22</v>
      </c>
      <c r="I68" s="9">
        <v>24</v>
      </c>
      <c r="J68" s="9">
        <v>15</v>
      </c>
      <c r="K68" s="9">
        <v>27</v>
      </c>
      <c r="L68" s="52">
        <v>22</v>
      </c>
      <c r="M68" s="9">
        <v>26</v>
      </c>
      <c r="N68" s="9">
        <v>25</v>
      </c>
      <c r="O68" s="5">
        <f t="shared" si="18"/>
        <v>279</v>
      </c>
    </row>
    <row r="69" spans="1:15" ht="27" customHeight="1" x14ac:dyDescent="0.25">
      <c r="A69" s="7">
        <f t="shared" si="17"/>
        <v>11.799999999999997</v>
      </c>
      <c r="B69" s="8" t="s">
        <v>110</v>
      </c>
      <c r="C69" s="9">
        <v>25</v>
      </c>
      <c r="D69" s="9">
        <v>24</v>
      </c>
      <c r="E69" s="9">
        <v>19</v>
      </c>
      <c r="F69" s="9">
        <v>17</v>
      </c>
      <c r="G69" s="9">
        <v>8</v>
      </c>
      <c r="H69" s="9">
        <v>21</v>
      </c>
      <c r="I69" s="9">
        <v>19</v>
      </c>
      <c r="J69" s="9">
        <v>15</v>
      </c>
      <c r="K69" s="9">
        <v>15</v>
      </c>
      <c r="L69" s="52">
        <v>13</v>
      </c>
      <c r="M69" s="9">
        <v>16</v>
      </c>
      <c r="N69" s="9">
        <v>17</v>
      </c>
      <c r="O69" s="5">
        <f t="shared" si="18"/>
        <v>209</v>
      </c>
    </row>
    <row r="70" spans="1:15" ht="27" customHeight="1" x14ac:dyDescent="0.25">
      <c r="A70" s="7">
        <f t="shared" si="17"/>
        <v>11.899999999999997</v>
      </c>
      <c r="B70" s="8" t="s">
        <v>111</v>
      </c>
      <c r="C70" s="9">
        <v>3</v>
      </c>
      <c r="D70" s="9">
        <v>3</v>
      </c>
      <c r="E70" s="9">
        <v>1</v>
      </c>
      <c r="F70" s="9">
        <v>3</v>
      </c>
      <c r="G70" s="9">
        <v>0</v>
      </c>
      <c r="H70" s="9">
        <v>1</v>
      </c>
      <c r="I70" s="9">
        <v>1</v>
      </c>
      <c r="J70" s="9">
        <v>3</v>
      </c>
      <c r="K70" s="9">
        <v>2</v>
      </c>
      <c r="L70" s="52">
        <v>2</v>
      </c>
      <c r="M70" s="9">
        <v>1</v>
      </c>
      <c r="N70" s="9">
        <v>2</v>
      </c>
      <c r="O70" s="5">
        <f t="shared" si="18"/>
        <v>22</v>
      </c>
    </row>
    <row r="71" spans="1:15" ht="27" customHeight="1" x14ac:dyDescent="0.25">
      <c r="A71" s="20">
        <v>11.1</v>
      </c>
      <c r="B71" s="8" t="s">
        <v>112</v>
      </c>
      <c r="C71" s="9">
        <v>37</v>
      </c>
      <c r="D71" s="9">
        <v>29</v>
      </c>
      <c r="E71" s="9">
        <v>25</v>
      </c>
      <c r="F71" s="9">
        <v>32</v>
      </c>
      <c r="G71" s="9">
        <v>77</v>
      </c>
      <c r="H71" s="9">
        <v>54</v>
      </c>
      <c r="I71" s="9">
        <v>60</v>
      </c>
      <c r="J71" s="9">
        <v>31</v>
      </c>
      <c r="K71" s="9">
        <v>41</v>
      </c>
      <c r="L71" s="52">
        <v>14</v>
      </c>
      <c r="M71" s="9">
        <v>19</v>
      </c>
      <c r="N71" s="9">
        <v>21</v>
      </c>
      <c r="O71" s="5">
        <f t="shared" si="18"/>
        <v>440</v>
      </c>
    </row>
    <row r="72" spans="1:15" ht="27" customHeight="1" x14ac:dyDescent="0.25">
      <c r="A72" s="20">
        <v>11.11</v>
      </c>
      <c r="B72" s="8" t="s">
        <v>113</v>
      </c>
      <c r="C72" s="9">
        <v>0</v>
      </c>
      <c r="D72" s="9">
        <v>2</v>
      </c>
      <c r="E72" s="9">
        <v>0</v>
      </c>
      <c r="F72" s="9">
        <v>2</v>
      </c>
      <c r="G72" s="9">
        <v>4</v>
      </c>
      <c r="H72" s="9">
        <v>1</v>
      </c>
      <c r="I72" s="9">
        <v>10</v>
      </c>
      <c r="J72" s="9">
        <v>2</v>
      </c>
      <c r="K72" s="9">
        <v>1</v>
      </c>
      <c r="L72" s="52">
        <v>2</v>
      </c>
      <c r="M72" s="9">
        <v>1</v>
      </c>
      <c r="N72" s="9">
        <v>1</v>
      </c>
      <c r="O72" s="5">
        <f t="shared" si="18"/>
        <v>26</v>
      </c>
    </row>
    <row r="73" spans="1:15" ht="27" customHeight="1" x14ac:dyDescent="0.25">
      <c r="A73" s="20">
        <v>11.12</v>
      </c>
      <c r="B73" s="8" t="s">
        <v>114</v>
      </c>
      <c r="C73" s="9">
        <v>8</v>
      </c>
      <c r="D73" s="9">
        <v>13</v>
      </c>
      <c r="E73" s="9">
        <v>8</v>
      </c>
      <c r="F73" s="9">
        <v>14</v>
      </c>
      <c r="G73" s="9">
        <v>13</v>
      </c>
      <c r="H73" s="9">
        <v>4</v>
      </c>
      <c r="I73" s="9">
        <v>5</v>
      </c>
      <c r="J73" s="9">
        <v>4</v>
      </c>
      <c r="K73" s="9">
        <v>0</v>
      </c>
      <c r="L73" s="52">
        <v>1</v>
      </c>
      <c r="M73" s="9">
        <v>1</v>
      </c>
      <c r="N73" s="9">
        <v>6</v>
      </c>
      <c r="O73" s="5">
        <f t="shared" si="18"/>
        <v>77</v>
      </c>
    </row>
    <row r="74" spans="1:15" ht="27" customHeight="1" x14ac:dyDescent="0.25">
      <c r="A74" s="20">
        <v>11.13</v>
      </c>
      <c r="B74" s="8" t="s">
        <v>115</v>
      </c>
      <c r="C74" s="9">
        <v>10</v>
      </c>
      <c r="D74" s="9">
        <v>10</v>
      </c>
      <c r="E74" s="9">
        <v>36</v>
      </c>
      <c r="F74" s="9">
        <v>45</v>
      </c>
      <c r="G74" s="9">
        <v>68</v>
      </c>
      <c r="H74" s="9">
        <v>82</v>
      </c>
      <c r="I74" s="9">
        <v>34</v>
      </c>
      <c r="J74" s="9">
        <v>23</v>
      </c>
      <c r="K74" s="9">
        <v>33</v>
      </c>
      <c r="L74" s="52">
        <v>14</v>
      </c>
      <c r="M74" s="9">
        <v>28</v>
      </c>
      <c r="N74" s="9">
        <v>8</v>
      </c>
      <c r="O74" s="5">
        <f t="shared" si="18"/>
        <v>391</v>
      </c>
    </row>
    <row r="75" spans="1:15" ht="27" customHeight="1" x14ac:dyDescent="0.25">
      <c r="A75" s="20">
        <v>11.14</v>
      </c>
      <c r="B75" s="8" t="s">
        <v>116</v>
      </c>
      <c r="C75" s="9">
        <v>64</v>
      </c>
      <c r="D75" s="9">
        <v>49</v>
      </c>
      <c r="E75" s="9">
        <v>48</v>
      </c>
      <c r="F75" s="9">
        <v>87</v>
      </c>
      <c r="G75" s="9">
        <v>80</v>
      </c>
      <c r="H75" s="9">
        <v>75</v>
      </c>
      <c r="I75" s="9">
        <v>61</v>
      </c>
      <c r="J75" s="9">
        <v>50</v>
      </c>
      <c r="K75" s="9">
        <v>64</v>
      </c>
      <c r="L75" s="52">
        <v>43</v>
      </c>
      <c r="M75" s="9">
        <v>42</v>
      </c>
      <c r="N75" s="9">
        <v>42</v>
      </c>
      <c r="O75" s="5">
        <f t="shared" si="18"/>
        <v>705</v>
      </c>
    </row>
    <row r="76" spans="1:15" ht="27" customHeight="1" x14ac:dyDescent="0.25">
      <c r="A76" s="20">
        <v>11.15</v>
      </c>
      <c r="B76" s="8" t="s">
        <v>117</v>
      </c>
      <c r="C76" s="9">
        <v>0</v>
      </c>
      <c r="D76" s="9">
        <v>0</v>
      </c>
      <c r="E76" s="9">
        <v>2</v>
      </c>
      <c r="F76" s="9">
        <v>1</v>
      </c>
      <c r="G76" s="9">
        <v>4</v>
      </c>
      <c r="H76" s="9">
        <v>3</v>
      </c>
      <c r="I76" s="9">
        <v>1</v>
      </c>
      <c r="J76" s="9">
        <v>0</v>
      </c>
      <c r="K76" s="9">
        <v>0</v>
      </c>
      <c r="L76" s="52">
        <v>1</v>
      </c>
      <c r="M76" s="9">
        <v>0</v>
      </c>
      <c r="N76" s="9">
        <v>0</v>
      </c>
      <c r="O76" s="5">
        <f t="shared" si="18"/>
        <v>12</v>
      </c>
    </row>
    <row r="77" spans="1:15" ht="27" customHeight="1" x14ac:dyDescent="0.25">
      <c r="A77" s="20">
        <v>11.16</v>
      </c>
      <c r="B77" s="8" t="s">
        <v>118</v>
      </c>
      <c r="C77" s="9">
        <v>34</v>
      </c>
      <c r="D77" s="9">
        <v>30</v>
      </c>
      <c r="E77" s="9">
        <v>14</v>
      </c>
      <c r="F77" s="9">
        <v>32</v>
      </c>
      <c r="G77" s="9">
        <v>27</v>
      </c>
      <c r="H77" s="9">
        <v>36</v>
      </c>
      <c r="I77" s="9">
        <v>30</v>
      </c>
      <c r="J77" s="9">
        <v>21</v>
      </c>
      <c r="K77" s="9">
        <v>21</v>
      </c>
      <c r="L77" s="52">
        <v>13</v>
      </c>
      <c r="M77" s="9">
        <v>12</v>
      </c>
      <c r="N77" s="9">
        <v>24</v>
      </c>
      <c r="O77" s="5">
        <f t="shared" si="18"/>
        <v>294</v>
      </c>
    </row>
    <row r="78" spans="1:15" ht="27" customHeight="1" x14ac:dyDescent="0.25">
      <c r="A78" s="20">
        <f t="shared" ref="A78:A93" si="19">+A77+0.01</f>
        <v>11.17</v>
      </c>
      <c r="B78" s="8" t="s">
        <v>119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52">
        <v>0</v>
      </c>
      <c r="M78" s="9">
        <v>0</v>
      </c>
      <c r="N78" s="9">
        <v>0</v>
      </c>
      <c r="O78" s="5">
        <f t="shared" si="18"/>
        <v>0</v>
      </c>
    </row>
    <row r="79" spans="1:15" ht="27" customHeight="1" x14ac:dyDescent="0.25">
      <c r="A79" s="20">
        <f t="shared" si="19"/>
        <v>11.18</v>
      </c>
      <c r="B79" s="8" t="s">
        <v>120</v>
      </c>
      <c r="C79" s="9">
        <v>5</v>
      </c>
      <c r="D79" s="9">
        <v>0</v>
      </c>
      <c r="E79" s="9">
        <v>2</v>
      </c>
      <c r="F79" s="9">
        <v>0</v>
      </c>
      <c r="G79" s="9">
        <v>2</v>
      </c>
      <c r="H79" s="9">
        <v>1</v>
      </c>
      <c r="I79" s="9">
        <v>2</v>
      </c>
      <c r="J79" s="9">
        <v>0</v>
      </c>
      <c r="K79" s="9">
        <v>0</v>
      </c>
      <c r="L79" s="52">
        <v>3</v>
      </c>
      <c r="M79" s="9">
        <v>3</v>
      </c>
      <c r="N79" s="9">
        <v>3</v>
      </c>
      <c r="O79" s="5">
        <f t="shared" si="18"/>
        <v>21</v>
      </c>
    </row>
    <row r="80" spans="1:15" ht="27" customHeight="1" x14ac:dyDescent="0.25">
      <c r="A80" s="20">
        <f t="shared" si="19"/>
        <v>11.19</v>
      </c>
      <c r="B80" s="8" t="s">
        <v>121</v>
      </c>
      <c r="C80" s="9">
        <v>24</v>
      </c>
      <c r="D80" s="9">
        <v>25</v>
      </c>
      <c r="E80" s="9">
        <v>24</v>
      </c>
      <c r="F80" s="9">
        <v>24</v>
      </c>
      <c r="G80" s="9">
        <v>20</v>
      </c>
      <c r="H80" s="9">
        <v>11</v>
      </c>
      <c r="I80" s="9">
        <v>28</v>
      </c>
      <c r="J80" s="9">
        <v>33</v>
      </c>
      <c r="K80" s="9">
        <v>45</v>
      </c>
      <c r="L80" s="52">
        <v>22</v>
      </c>
      <c r="M80" s="9">
        <v>22</v>
      </c>
      <c r="N80" s="9">
        <v>55</v>
      </c>
      <c r="O80" s="5">
        <f t="shared" si="18"/>
        <v>333</v>
      </c>
    </row>
    <row r="81" spans="1:15" ht="33" customHeight="1" x14ac:dyDescent="0.25">
      <c r="A81" s="20">
        <f t="shared" si="19"/>
        <v>11.2</v>
      </c>
      <c r="B81" s="8" t="s">
        <v>122</v>
      </c>
      <c r="C81" s="9">
        <v>1</v>
      </c>
      <c r="D81" s="9">
        <v>1</v>
      </c>
      <c r="E81" s="9">
        <v>2</v>
      </c>
      <c r="F81" s="9">
        <v>1</v>
      </c>
      <c r="G81" s="9">
        <v>8</v>
      </c>
      <c r="H81" s="9">
        <v>4</v>
      </c>
      <c r="I81" s="9">
        <v>6</v>
      </c>
      <c r="J81" s="9">
        <v>2</v>
      </c>
      <c r="K81" s="9">
        <v>3</v>
      </c>
      <c r="L81" s="52">
        <v>0</v>
      </c>
      <c r="M81" s="9">
        <v>1</v>
      </c>
      <c r="N81" s="9">
        <v>3</v>
      </c>
      <c r="O81" s="5">
        <f t="shared" si="18"/>
        <v>32</v>
      </c>
    </row>
    <row r="82" spans="1:15" ht="28.5" customHeight="1" x14ac:dyDescent="0.25">
      <c r="A82" s="20">
        <f t="shared" si="19"/>
        <v>11.209999999999999</v>
      </c>
      <c r="B82" s="8" t="s">
        <v>123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52">
        <v>0</v>
      </c>
      <c r="M82" s="9">
        <v>0</v>
      </c>
      <c r="N82" s="9">
        <v>0</v>
      </c>
      <c r="O82" s="5">
        <f t="shared" si="18"/>
        <v>0</v>
      </c>
    </row>
    <row r="83" spans="1:15" ht="28.5" customHeight="1" x14ac:dyDescent="0.25">
      <c r="A83" s="20">
        <f t="shared" si="19"/>
        <v>11.219999999999999</v>
      </c>
      <c r="B83" s="8" t="s">
        <v>124</v>
      </c>
      <c r="C83" s="9">
        <v>4</v>
      </c>
      <c r="D83" s="9">
        <v>2</v>
      </c>
      <c r="E83" s="9">
        <v>1</v>
      </c>
      <c r="F83" s="9">
        <v>1</v>
      </c>
      <c r="G83" s="9">
        <v>2</v>
      </c>
      <c r="H83" s="9">
        <v>3</v>
      </c>
      <c r="I83" s="9">
        <v>0</v>
      </c>
      <c r="J83" s="9">
        <v>4</v>
      </c>
      <c r="K83" s="9">
        <v>1</v>
      </c>
      <c r="L83" s="52">
        <v>2</v>
      </c>
      <c r="M83" s="9">
        <v>0</v>
      </c>
      <c r="N83" s="9">
        <v>4</v>
      </c>
      <c r="O83" s="5">
        <f t="shared" si="18"/>
        <v>24</v>
      </c>
    </row>
    <row r="84" spans="1:15" ht="28.5" customHeight="1" x14ac:dyDescent="0.25">
      <c r="A84" s="20">
        <f t="shared" si="19"/>
        <v>11.229999999999999</v>
      </c>
      <c r="B84" s="8" t="s">
        <v>125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1</v>
      </c>
      <c r="K84" s="9">
        <v>0</v>
      </c>
      <c r="L84" s="52">
        <v>1</v>
      </c>
      <c r="M84" s="9">
        <v>1</v>
      </c>
      <c r="N84" s="9">
        <v>0</v>
      </c>
      <c r="O84" s="5">
        <f t="shared" si="18"/>
        <v>3</v>
      </c>
    </row>
    <row r="85" spans="1:15" ht="28.5" customHeight="1" x14ac:dyDescent="0.25">
      <c r="A85" s="20">
        <f t="shared" si="19"/>
        <v>11.239999999999998</v>
      </c>
      <c r="B85" s="8" t="s">
        <v>126</v>
      </c>
      <c r="C85" s="9">
        <v>0</v>
      </c>
      <c r="D85" s="9">
        <v>3</v>
      </c>
      <c r="E85" s="9">
        <v>0</v>
      </c>
      <c r="F85" s="9">
        <v>0</v>
      </c>
      <c r="G85" s="9">
        <v>0</v>
      </c>
      <c r="H85" s="9">
        <v>0</v>
      </c>
      <c r="I85" s="9">
        <v>7</v>
      </c>
      <c r="J85" s="9">
        <v>1</v>
      </c>
      <c r="K85" s="9">
        <v>3</v>
      </c>
      <c r="L85" s="52">
        <v>0</v>
      </c>
      <c r="M85" s="9">
        <v>0</v>
      </c>
      <c r="N85" s="9">
        <v>0</v>
      </c>
      <c r="O85" s="5">
        <f t="shared" si="18"/>
        <v>14</v>
      </c>
    </row>
    <row r="86" spans="1:15" ht="33" customHeight="1" x14ac:dyDescent="0.25">
      <c r="A86" s="20">
        <f t="shared" si="19"/>
        <v>11.249999999999998</v>
      </c>
      <c r="B86" s="8" t="s">
        <v>127</v>
      </c>
      <c r="C86" s="9">
        <v>44</v>
      </c>
      <c r="D86" s="9">
        <v>27</v>
      </c>
      <c r="E86" s="9">
        <v>40</v>
      </c>
      <c r="F86" s="9">
        <v>64</v>
      </c>
      <c r="G86" s="9">
        <v>59</v>
      </c>
      <c r="H86" s="9">
        <v>43</v>
      </c>
      <c r="I86" s="9">
        <v>41</v>
      </c>
      <c r="J86" s="9">
        <v>40</v>
      </c>
      <c r="K86" s="9">
        <v>35</v>
      </c>
      <c r="L86" s="52">
        <v>32</v>
      </c>
      <c r="M86" s="9">
        <v>48</v>
      </c>
      <c r="N86" s="9">
        <v>23</v>
      </c>
      <c r="O86" s="5">
        <f t="shared" si="18"/>
        <v>496</v>
      </c>
    </row>
    <row r="87" spans="1:15" ht="28.5" customHeight="1" x14ac:dyDescent="0.25">
      <c r="A87" s="20">
        <f t="shared" si="19"/>
        <v>11.259999999999998</v>
      </c>
      <c r="B87" s="8" t="s">
        <v>128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2</v>
      </c>
      <c r="J87" s="9">
        <v>0</v>
      </c>
      <c r="K87" s="9">
        <v>1</v>
      </c>
      <c r="L87" s="52">
        <v>0</v>
      </c>
      <c r="M87" s="9">
        <v>0</v>
      </c>
      <c r="N87" s="9">
        <v>0</v>
      </c>
      <c r="O87" s="5">
        <f t="shared" si="18"/>
        <v>3</v>
      </c>
    </row>
    <row r="88" spans="1:15" ht="28.5" customHeight="1" x14ac:dyDescent="0.25">
      <c r="A88" s="20">
        <f t="shared" si="19"/>
        <v>11.269999999999998</v>
      </c>
      <c r="B88" s="8" t="s">
        <v>129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52">
        <v>0</v>
      </c>
      <c r="M88" s="9">
        <v>0</v>
      </c>
      <c r="N88" s="9">
        <v>2</v>
      </c>
      <c r="O88" s="5">
        <f t="shared" si="18"/>
        <v>2</v>
      </c>
    </row>
    <row r="89" spans="1:15" ht="28.5" customHeight="1" x14ac:dyDescent="0.25">
      <c r="A89" s="20">
        <f t="shared" si="19"/>
        <v>11.279999999999998</v>
      </c>
      <c r="B89" s="8" t="s">
        <v>130</v>
      </c>
      <c r="C89" s="9">
        <v>0</v>
      </c>
      <c r="D89" s="9">
        <v>0</v>
      </c>
      <c r="E89" s="9">
        <v>0</v>
      </c>
      <c r="F89" s="9">
        <v>0</v>
      </c>
      <c r="G89" s="9">
        <v>1</v>
      </c>
      <c r="H89" s="9">
        <v>0</v>
      </c>
      <c r="I89" s="9">
        <v>8</v>
      </c>
      <c r="J89" s="9">
        <v>0</v>
      </c>
      <c r="K89" s="9">
        <v>0</v>
      </c>
      <c r="L89" s="52">
        <v>0</v>
      </c>
      <c r="M89" s="9">
        <v>0</v>
      </c>
      <c r="N89" s="9">
        <v>0</v>
      </c>
      <c r="O89" s="5">
        <f t="shared" si="18"/>
        <v>9</v>
      </c>
    </row>
    <row r="90" spans="1:15" ht="28.5" customHeight="1" x14ac:dyDescent="0.25">
      <c r="A90" s="20">
        <f t="shared" si="19"/>
        <v>11.289999999999997</v>
      </c>
      <c r="B90" s="8" t="s">
        <v>131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52">
        <v>0</v>
      </c>
      <c r="M90" s="9">
        <v>0</v>
      </c>
      <c r="N90" s="9">
        <v>0</v>
      </c>
      <c r="O90" s="5">
        <f t="shared" si="18"/>
        <v>0</v>
      </c>
    </row>
    <row r="91" spans="1:15" ht="28.5" customHeight="1" x14ac:dyDescent="0.25">
      <c r="A91" s="20">
        <f t="shared" si="19"/>
        <v>11.299999999999997</v>
      </c>
      <c r="B91" s="8" t="s">
        <v>132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52">
        <v>0</v>
      </c>
      <c r="M91" s="9">
        <v>0</v>
      </c>
      <c r="N91" s="9">
        <v>0</v>
      </c>
      <c r="O91" s="5">
        <f t="shared" si="18"/>
        <v>0</v>
      </c>
    </row>
    <row r="92" spans="1:15" ht="28.5" customHeight="1" x14ac:dyDescent="0.25">
      <c r="A92" s="20">
        <f t="shared" si="19"/>
        <v>11.309999999999997</v>
      </c>
      <c r="B92" s="8" t="s">
        <v>133</v>
      </c>
      <c r="C92" s="9">
        <v>4</v>
      </c>
      <c r="D92" s="4">
        <v>3</v>
      </c>
      <c r="E92" s="9">
        <v>1</v>
      </c>
      <c r="F92" s="4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52">
        <v>0</v>
      </c>
      <c r="M92" s="9">
        <v>0</v>
      </c>
      <c r="N92" s="9">
        <v>0</v>
      </c>
      <c r="O92" s="5">
        <f t="shared" si="18"/>
        <v>8</v>
      </c>
    </row>
    <row r="93" spans="1:15" ht="28.5" customHeight="1" x14ac:dyDescent="0.25">
      <c r="A93" s="21">
        <f t="shared" si="19"/>
        <v>11.319999999999997</v>
      </c>
      <c r="B93" s="11" t="s">
        <v>76</v>
      </c>
      <c r="C93" s="5">
        <f t="shared" ref="C93:D93" si="20">SUM(C62:C92)</f>
        <v>308</v>
      </c>
      <c r="D93" s="5">
        <f t="shared" si="20"/>
        <v>251</v>
      </c>
      <c r="E93" s="5">
        <v>262</v>
      </c>
      <c r="F93" s="5">
        <f>SUM(F62:F92)</f>
        <v>350</v>
      </c>
      <c r="G93" s="5">
        <v>398</v>
      </c>
      <c r="H93" s="5">
        <v>369</v>
      </c>
      <c r="I93" s="5">
        <f>SUM(I62:I92)</f>
        <v>341</v>
      </c>
      <c r="J93" s="5">
        <v>254</v>
      </c>
      <c r="K93" s="5">
        <f t="shared" ref="K93:N93" si="21">SUM(K62:K92)</f>
        <v>297</v>
      </c>
      <c r="L93" s="49">
        <f t="shared" si="21"/>
        <v>193</v>
      </c>
      <c r="M93" s="5">
        <f t="shared" si="21"/>
        <v>231</v>
      </c>
      <c r="N93" s="5">
        <f t="shared" si="21"/>
        <v>245</v>
      </c>
      <c r="O93" s="5">
        <f t="shared" si="18"/>
        <v>3499</v>
      </c>
    </row>
    <row r="94" spans="1:15" ht="30" customHeight="1" x14ac:dyDescent="0.25">
      <c r="A94" s="1">
        <f>+A61+1</f>
        <v>12</v>
      </c>
      <c r="B94" s="1" t="s">
        <v>134</v>
      </c>
      <c r="C94" s="1"/>
      <c r="D94" s="1"/>
      <c r="E94" s="1"/>
      <c r="F94" s="1"/>
      <c r="G94" s="1"/>
      <c r="H94" s="1"/>
      <c r="I94" s="1"/>
      <c r="J94" s="1"/>
      <c r="K94" s="1"/>
      <c r="L94" s="48"/>
      <c r="M94" s="1"/>
      <c r="N94" s="1"/>
      <c r="O94" s="1"/>
    </row>
    <row r="95" spans="1:15" ht="33" customHeight="1" x14ac:dyDescent="0.25">
      <c r="A95" s="7">
        <f t="shared" ref="A95:A98" si="22">+A94+0.1</f>
        <v>12.1</v>
      </c>
      <c r="B95" s="8" t="s">
        <v>135</v>
      </c>
      <c r="C95" s="9">
        <v>202</v>
      </c>
      <c r="D95" s="9">
        <v>322</v>
      </c>
      <c r="E95" s="9">
        <v>203</v>
      </c>
      <c r="F95" s="9">
        <v>38</v>
      </c>
      <c r="G95" s="9">
        <v>46</v>
      </c>
      <c r="H95" s="9">
        <v>52</v>
      </c>
      <c r="I95" s="9">
        <v>160</v>
      </c>
      <c r="J95" s="9">
        <v>121</v>
      </c>
      <c r="K95" s="4">
        <v>169</v>
      </c>
      <c r="L95" s="47">
        <v>134</v>
      </c>
      <c r="M95" s="57">
        <v>141</v>
      </c>
      <c r="N95" s="9">
        <v>146</v>
      </c>
      <c r="O95" s="5">
        <f t="shared" ref="O95:O98" si="23">SUM(C95:N95)</f>
        <v>1734</v>
      </c>
    </row>
    <row r="96" spans="1:15" ht="33" customHeight="1" x14ac:dyDescent="0.25">
      <c r="A96" s="7">
        <f t="shared" si="22"/>
        <v>12.2</v>
      </c>
      <c r="B96" s="8" t="s">
        <v>136</v>
      </c>
      <c r="C96" s="4">
        <v>28</v>
      </c>
      <c r="D96" s="9">
        <v>28</v>
      </c>
      <c r="E96" s="9">
        <v>28</v>
      </c>
      <c r="F96" s="9">
        <v>8</v>
      </c>
      <c r="G96" s="9">
        <v>31</v>
      </c>
      <c r="H96" s="9">
        <v>30</v>
      </c>
      <c r="I96" s="9">
        <v>31</v>
      </c>
      <c r="J96" s="9">
        <v>31</v>
      </c>
      <c r="K96" s="4">
        <v>30</v>
      </c>
      <c r="L96" s="47">
        <v>31</v>
      </c>
      <c r="M96" s="9">
        <v>30</v>
      </c>
      <c r="N96" s="9">
        <v>31</v>
      </c>
      <c r="O96" s="5">
        <f t="shared" si="23"/>
        <v>337</v>
      </c>
    </row>
    <row r="97" spans="1:15" ht="33" customHeight="1" x14ac:dyDescent="0.25">
      <c r="A97" s="7">
        <f t="shared" si="22"/>
        <v>12.299999999999999</v>
      </c>
      <c r="B97" s="8" t="s">
        <v>137</v>
      </c>
      <c r="C97" s="4">
        <v>2</v>
      </c>
      <c r="D97" s="9">
        <v>3</v>
      </c>
      <c r="E97" s="9">
        <v>3</v>
      </c>
      <c r="F97" s="9">
        <v>2</v>
      </c>
      <c r="G97" s="9">
        <v>2</v>
      </c>
      <c r="H97" s="9">
        <v>5</v>
      </c>
      <c r="I97" s="9">
        <v>7</v>
      </c>
      <c r="J97" s="9">
        <v>5</v>
      </c>
      <c r="K97" s="4">
        <v>3</v>
      </c>
      <c r="L97" s="47">
        <v>5</v>
      </c>
      <c r="M97" s="9">
        <v>5</v>
      </c>
      <c r="N97" s="9">
        <v>7</v>
      </c>
      <c r="O97" s="5">
        <f t="shared" si="23"/>
        <v>49</v>
      </c>
    </row>
    <row r="98" spans="1:15" ht="33" customHeight="1" x14ac:dyDescent="0.25">
      <c r="A98" s="7">
        <f t="shared" si="22"/>
        <v>12.399999999999999</v>
      </c>
      <c r="B98" s="11" t="s">
        <v>76</v>
      </c>
      <c r="C98" s="5">
        <f t="shared" ref="C98:D98" si="24">SUM(C95:C97)</f>
        <v>232</v>
      </c>
      <c r="D98" s="5">
        <f t="shared" si="24"/>
        <v>353</v>
      </c>
      <c r="E98" s="5">
        <v>234</v>
      </c>
      <c r="F98" s="5">
        <f>SUM(F95:F97)</f>
        <v>48</v>
      </c>
      <c r="G98" s="5">
        <v>79</v>
      </c>
      <c r="H98" s="5">
        <v>87</v>
      </c>
      <c r="I98" s="5">
        <f>SUM(I95:I97)</f>
        <v>198</v>
      </c>
      <c r="J98" s="5">
        <v>157</v>
      </c>
      <c r="K98" s="5">
        <f t="shared" ref="K98:N98" si="25">SUM(K95:K97)</f>
        <v>202</v>
      </c>
      <c r="L98" s="49">
        <f t="shared" si="25"/>
        <v>170</v>
      </c>
      <c r="M98" s="5">
        <f t="shared" si="25"/>
        <v>176</v>
      </c>
      <c r="N98" s="5">
        <f t="shared" si="25"/>
        <v>184</v>
      </c>
      <c r="O98" s="5">
        <f t="shared" si="23"/>
        <v>2120</v>
      </c>
    </row>
    <row r="99" spans="1:15" ht="30" customHeight="1" x14ac:dyDescent="0.25">
      <c r="A99" s="1">
        <f>+A94+1</f>
        <v>13</v>
      </c>
      <c r="B99" s="1" t="s">
        <v>138</v>
      </c>
      <c r="C99" s="1"/>
      <c r="D99" s="1"/>
      <c r="E99" s="1"/>
      <c r="F99" s="1"/>
      <c r="G99" s="1"/>
      <c r="H99" s="1"/>
      <c r="I99" s="1"/>
      <c r="J99" s="1"/>
      <c r="K99" s="1"/>
      <c r="L99" s="48"/>
      <c r="M99" s="1"/>
      <c r="N99" s="1"/>
      <c r="O99" s="1"/>
    </row>
    <row r="100" spans="1:15" ht="33" customHeight="1" x14ac:dyDescent="0.25">
      <c r="A100" s="7">
        <f t="shared" ref="A100:A106" si="26">+A99+0.1</f>
        <v>13.1</v>
      </c>
      <c r="B100" s="8" t="s">
        <v>139</v>
      </c>
      <c r="C100" s="9">
        <v>13</v>
      </c>
      <c r="D100" s="9">
        <v>9</v>
      </c>
      <c r="E100" s="9">
        <v>13</v>
      </c>
      <c r="F100" s="9">
        <v>0</v>
      </c>
      <c r="G100" s="9">
        <v>0</v>
      </c>
      <c r="H100" s="9">
        <v>0</v>
      </c>
      <c r="I100" s="9">
        <v>2</v>
      </c>
      <c r="J100" s="9">
        <v>0</v>
      </c>
      <c r="K100" s="9">
        <v>12</v>
      </c>
      <c r="L100" s="52">
        <v>0</v>
      </c>
      <c r="M100" s="9">
        <v>8</v>
      </c>
      <c r="N100" s="9">
        <v>3</v>
      </c>
      <c r="O100" s="5">
        <f t="shared" ref="O100:O106" si="27">SUM(C100:N100)</f>
        <v>60</v>
      </c>
    </row>
    <row r="101" spans="1:15" ht="33" customHeight="1" x14ac:dyDescent="0.25">
      <c r="A101" s="7">
        <f t="shared" si="26"/>
        <v>13.2</v>
      </c>
      <c r="B101" s="8" t="s">
        <v>140</v>
      </c>
      <c r="C101" s="9">
        <v>16</v>
      </c>
      <c r="D101" s="9">
        <v>11</v>
      </c>
      <c r="E101" s="9">
        <v>17</v>
      </c>
      <c r="F101" s="9">
        <v>20</v>
      </c>
      <c r="G101" s="9">
        <v>19</v>
      </c>
      <c r="H101" s="9">
        <v>15</v>
      </c>
      <c r="I101" s="9">
        <v>27</v>
      </c>
      <c r="J101" s="9">
        <v>20</v>
      </c>
      <c r="K101" s="9">
        <v>10</v>
      </c>
      <c r="L101" s="52">
        <v>10</v>
      </c>
      <c r="M101" s="9">
        <v>18</v>
      </c>
      <c r="N101" s="9">
        <v>11</v>
      </c>
      <c r="O101" s="5">
        <f t="shared" si="27"/>
        <v>194</v>
      </c>
    </row>
    <row r="102" spans="1:15" ht="33" customHeight="1" x14ac:dyDescent="0.25">
      <c r="A102" s="7">
        <f t="shared" si="26"/>
        <v>13.299999999999999</v>
      </c>
      <c r="B102" s="8" t="s">
        <v>141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52">
        <v>0</v>
      </c>
      <c r="M102" s="9">
        <v>0</v>
      </c>
      <c r="N102" s="9">
        <v>0</v>
      </c>
      <c r="O102" s="5">
        <f t="shared" si="27"/>
        <v>0</v>
      </c>
    </row>
    <row r="103" spans="1:15" ht="33" customHeight="1" x14ac:dyDescent="0.25">
      <c r="A103" s="7">
        <f t="shared" si="26"/>
        <v>13.399999999999999</v>
      </c>
      <c r="B103" s="8" t="s">
        <v>142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52">
        <v>0</v>
      </c>
      <c r="M103" s="9">
        <v>0</v>
      </c>
      <c r="N103" s="9">
        <v>0</v>
      </c>
      <c r="O103" s="5">
        <f t="shared" si="27"/>
        <v>0</v>
      </c>
    </row>
    <row r="104" spans="1:15" ht="33" customHeight="1" x14ac:dyDescent="0.25">
      <c r="A104" s="7">
        <f t="shared" si="26"/>
        <v>13.499999999999998</v>
      </c>
      <c r="B104" s="8" t="s">
        <v>143</v>
      </c>
      <c r="C104" s="9">
        <v>7</v>
      </c>
      <c r="D104" s="9">
        <v>18</v>
      </c>
      <c r="E104" s="9">
        <v>0</v>
      </c>
      <c r="F104" s="9">
        <v>4</v>
      </c>
      <c r="G104" s="9">
        <v>13</v>
      </c>
      <c r="H104" s="9">
        <v>4</v>
      </c>
      <c r="I104" s="9">
        <v>17</v>
      </c>
      <c r="J104" s="9">
        <v>1</v>
      </c>
      <c r="K104" s="9">
        <v>4</v>
      </c>
      <c r="L104" s="52">
        <v>0</v>
      </c>
      <c r="M104" s="9">
        <v>3</v>
      </c>
      <c r="N104" s="9">
        <v>1</v>
      </c>
      <c r="O104" s="5">
        <f t="shared" si="27"/>
        <v>72</v>
      </c>
    </row>
    <row r="105" spans="1:15" ht="33" customHeight="1" x14ac:dyDescent="0.25">
      <c r="A105" s="7">
        <f t="shared" si="26"/>
        <v>13.599999999999998</v>
      </c>
      <c r="B105" s="8" t="s">
        <v>144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2</v>
      </c>
      <c r="J105" s="9">
        <v>1</v>
      </c>
      <c r="K105" s="9">
        <v>0</v>
      </c>
      <c r="L105" s="52">
        <v>0</v>
      </c>
      <c r="M105" s="9">
        <v>0</v>
      </c>
      <c r="N105" s="9">
        <v>0</v>
      </c>
      <c r="O105" s="5">
        <f t="shared" si="27"/>
        <v>3</v>
      </c>
    </row>
    <row r="106" spans="1:15" ht="33" customHeight="1" x14ac:dyDescent="0.25">
      <c r="A106" s="7">
        <f t="shared" si="26"/>
        <v>13.699999999999998</v>
      </c>
      <c r="B106" s="11" t="s">
        <v>76</v>
      </c>
      <c r="C106" s="5">
        <f t="shared" ref="C106:D106" si="28">SUM(C100:C105)</f>
        <v>36</v>
      </c>
      <c r="D106" s="5">
        <f t="shared" si="28"/>
        <v>38</v>
      </c>
      <c r="E106" s="5">
        <v>30</v>
      </c>
      <c r="F106" s="5">
        <f>SUM(F100:F105)</f>
        <v>24</v>
      </c>
      <c r="G106" s="5">
        <v>32</v>
      </c>
      <c r="H106" s="5">
        <v>19</v>
      </c>
      <c r="I106" s="5">
        <f>SUM(I100:I105)</f>
        <v>48</v>
      </c>
      <c r="J106" s="5">
        <v>22</v>
      </c>
      <c r="K106" s="5">
        <f t="shared" ref="K106:N106" si="29">SUM(K100:K105)</f>
        <v>26</v>
      </c>
      <c r="L106" s="49">
        <f t="shared" si="29"/>
        <v>10</v>
      </c>
      <c r="M106" s="5">
        <f t="shared" si="29"/>
        <v>29</v>
      </c>
      <c r="N106" s="5">
        <f t="shared" si="29"/>
        <v>15</v>
      </c>
      <c r="O106" s="5">
        <f t="shared" si="27"/>
        <v>329</v>
      </c>
    </row>
    <row r="107" spans="1:15" ht="30" customHeight="1" x14ac:dyDescent="0.25">
      <c r="A107" s="1">
        <f>+A99+1</f>
        <v>14</v>
      </c>
      <c r="B107" s="1" t="s">
        <v>145</v>
      </c>
      <c r="C107" s="1"/>
      <c r="D107" s="1"/>
      <c r="E107" s="1"/>
      <c r="F107" s="1"/>
      <c r="G107" s="1"/>
      <c r="H107" s="1"/>
      <c r="I107" s="1"/>
      <c r="J107" s="1"/>
      <c r="K107" s="1"/>
      <c r="L107" s="48"/>
      <c r="M107" s="1"/>
      <c r="N107" s="1"/>
      <c r="O107" s="1"/>
    </row>
    <row r="108" spans="1:15" ht="33" customHeight="1" x14ac:dyDescent="0.25">
      <c r="A108" s="7">
        <f t="shared" ref="A108:A116" si="30">+A107+0.1</f>
        <v>14.1</v>
      </c>
      <c r="B108" s="8" t="s">
        <v>146</v>
      </c>
      <c r="C108" s="9">
        <v>1</v>
      </c>
      <c r="D108" s="9">
        <v>1</v>
      </c>
      <c r="E108" s="9">
        <v>0</v>
      </c>
      <c r="F108" s="9">
        <v>0</v>
      </c>
      <c r="G108" s="9">
        <v>3</v>
      </c>
      <c r="H108" s="9">
        <v>4</v>
      </c>
      <c r="I108" s="9">
        <v>15</v>
      </c>
      <c r="J108" s="9">
        <v>2</v>
      </c>
      <c r="K108" s="9">
        <v>4</v>
      </c>
      <c r="L108" s="52">
        <v>0</v>
      </c>
      <c r="M108" s="9">
        <v>0</v>
      </c>
      <c r="N108" s="9">
        <v>0</v>
      </c>
      <c r="O108" s="5">
        <f t="shared" ref="O108:O117" si="31">SUM(C108:N108)</f>
        <v>30</v>
      </c>
    </row>
    <row r="109" spans="1:15" ht="33" customHeight="1" x14ac:dyDescent="0.25">
      <c r="A109" s="7">
        <f t="shared" si="30"/>
        <v>14.2</v>
      </c>
      <c r="B109" s="8" t="s">
        <v>147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52">
        <v>0</v>
      </c>
      <c r="M109" s="9">
        <v>0</v>
      </c>
      <c r="N109" s="9">
        <v>10</v>
      </c>
      <c r="O109" s="5">
        <f t="shared" si="31"/>
        <v>10</v>
      </c>
    </row>
    <row r="110" spans="1:15" ht="33" customHeight="1" x14ac:dyDescent="0.25">
      <c r="A110" s="7">
        <f t="shared" si="30"/>
        <v>14.299999999999999</v>
      </c>
      <c r="B110" s="8" t="s">
        <v>148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52">
        <v>0</v>
      </c>
      <c r="M110" s="9">
        <v>0</v>
      </c>
      <c r="N110" s="9">
        <v>0</v>
      </c>
      <c r="O110" s="5">
        <f t="shared" si="31"/>
        <v>0</v>
      </c>
    </row>
    <row r="111" spans="1:15" ht="33" customHeight="1" x14ac:dyDescent="0.25">
      <c r="A111" s="7">
        <f t="shared" si="30"/>
        <v>14.399999999999999</v>
      </c>
      <c r="B111" s="8" t="s">
        <v>149</v>
      </c>
      <c r="C111" s="9">
        <v>0</v>
      </c>
      <c r="D111" s="9">
        <v>0</v>
      </c>
      <c r="E111" s="9">
        <v>0</v>
      </c>
      <c r="F111" s="9">
        <v>0</v>
      </c>
      <c r="G111" s="9">
        <v>1</v>
      </c>
      <c r="H111" s="9">
        <v>0</v>
      </c>
      <c r="I111" s="9">
        <v>9</v>
      </c>
      <c r="J111" s="9">
        <v>3</v>
      </c>
      <c r="K111" s="9">
        <v>1</v>
      </c>
      <c r="L111" s="52">
        <v>0</v>
      </c>
      <c r="M111" s="9">
        <v>0</v>
      </c>
      <c r="N111" s="9">
        <v>0</v>
      </c>
      <c r="O111" s="5">
        <f t="shared" si="31"/>
        <v>14</v>
      </c>
    </row>
    <row r="112" spans="1:15" ht="33" customHeight="1" x14ac:dyDescent="0.25">
      <c r="A112" s="7">
        <f t="shared" si="30"/>
        <v>14.499999999999998</v>
      </c>
      <c r="B112" s="8" t="s">
        <v>150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52">
        <v>0</v>
      </c>
      <c r="M112" s="9">
        <v>0</v>
      </c>
      <c r="N112" s="9">
        <v>0</v>
      </c>
      <c r="O112" s="5">
        <f t="shared" si="31"/>
        <v>0</v>
      </c>
    </row>
    <row r="113" spans="1:15" ht="33" customHeight="1" x14ac:dyDescent="0.25">
      <c r="A113" s="7">
        <f t="shared" si="30"/>
        <v>14.599999999999998</v>
      </c>
      <c r="B113" s="8" t="s">
        <v>151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22</v>
      </c>
      <c r="J113" s="9">
        <v>1</v>
      </c>
      <c r="K113" s="9">
        <v>3</v>
      </c>
      <c r="L113" s="52">
        <v>0</v>
      </c>
      <c r="M113" s="9">
        <v>0</v>
      </c>
      <c r="N113" s="9">
        <v>0</v>
      </c>
      <c r="O113" s="5">
        <f t="shared" si="31"/>
        <v>26</v>
      </c>
    </row>
    <row r="114" spans="1:15" ht="33" customHeight="1" x14ac:dyDescent="0.25">
      <c r="A114" s="7">
        <f t="shared" si="30"/>
        <v>14.699999999999998</v>
      </c>
      <c r="B114" s="8" t="s">
        <v>152</v>
      </c>
      <c r="C114" s="4" t="s">
        <v>153</v>
      </c>
      <c r="D114" s="4" t="s">
        <v>153</v>
      </c>
      <c r="E114" s="22" t="s">
        <v>153</v>
      </c>
      <c r="F114" s="22" t="s">
        <v>153</v>
      </c>
      <c r="G114" s="22" t="s">
        <v>153</v>
      </c>
      <c r="H114" s="22" t="s">
        <v>153</v>
      </c>
      <c r="I114" s="22" t="s">
        <v>153</v>
      </c>
      <c r="J114" s="22" t="s">
        <v>153</v>
      </c>
      <c r="K114" s="22" t="s">
        <v>153</v>
      </c>
      <c r="L114" s="52">
        <v>0</v>
      </c>
      <c r="M114" s="9">
        <v>0</v>
      </c>
      <c r="N114" s="9">
        <v>0</v>
      </c>
      <c r="O114" s="5">
        <f t="shared" si="31"/>
        <v>0</v>
      </c>
    </row>
    <row r="115" spans="1:15" ht="33" customHeight="1" x14ac:dyDescent="0.25">
      <c r="A115" s="7">
        <f t="shared" si="30"/>
        <v>14.799999999999997</v>
      </c>
      <c r="B115" s="8" t="s">
        <v>154</v>
      </c>
      <c r="C115" s="4">
        <v>136</v>
      </c>
      <c r="D115" s="4">
        <v>6</v>
      </c>
      <c r="E115" s="9">
        <v>0</v>
      </c>
      <c r="F115" s="9">
        <v>0</v>
      </c>
      <c r="G115" s="9">
        <v>1</v>
      </c>
      <c r="H115" s="9">
        <v>0</v>
      </c>
      <c r="I115" s="9">
        <v>0</v>
      </c>
      <c r="J115" s="9">
        <v>0</v>
      </c>
      <c r="K115" s="9">
        <v>0</v>
      </c>
      <c r="L115" s="52">
        <v>0</v>
      </c>
      <c r="M115" s="9">
        <v>1</v>
      </c>
      <c r="N115" s="9">
        <v>2</v>
      </c>
      <c r="O115" s="5">
        <f t="shared" si="31"/>
        <v>146</v>
      </c>
    </row>
    <row r="116" spans="1:15" ht="33" customHeight="1" x14ac:dyDescent="0.25">
      <c r="A116" s="7">
        <f t="shared" si="30"/>
        <v>14.899999999999997</v>
      </c>
      <c r="B116" s="8" t="s">
        <v>155</v>
      </c>
      <c r="C116" s="4">
        <v>0</v>
      </c>
      <c r="D116" s="4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52">
        <v>0</v>
      </c>
      <c r="M116" s="9">
        <v>0</v>
      </c>
      <c r="N116" s="9">
        <v>0</v>
      </c>
      <c r="O116" s="5">
        <f t="shared" si="31"/>
        <v>0</v>
      </c>
    </row>
    <row r="117" spans="1:15" ht="33" customHeight="1" x14ac:dyDescent="0.25">
      <c r="A117" s="20">
        <v>14.1</v>
      </c>
      <c r="B117" s="8" t="s">
        <v>156</v>
      </c>
      <c r="C117" s="4">
        <v>105</v>
      </c>
      <c r="D117" s="4">
        <v>479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52">
        <v>0</v>
      </c>
      <c r="M117" s="9">
        <v>0</v>
      </c>
      <c r="N117" s="57">
        <v>251</v>
      </c>
      <c r="O117" s="5">
        <f t="shared" si="31"/>
        <v>835</v>
      </c>
    </row>
    <row r="118" spans="1:15" ht="30" customHeight="1" x14ac:dyDescent="0.25">
      <c r="A118" s="1">
        <f>+A107+1</f>
        <v>15</v>
      </c>
      <c r="B118" s="1" t="s">
        <v>157</v>
      </c>
      <c r="C118" s="1"/>
      <c r="D118" s="1"/>
      <c r="E118" s="1"/>
      <c r="F118" s="1"/>
      <c r="G118" s="1"/>
      <c r="H118" s="1"/>
      <c r="I118" s="1"/>
      <c r="J118" s="1"/>
      <c r="K118" s="1"/>
      <c r="L118" s="48"/>
      <c r="M118" s="1"/>
      <c r="N118" s="1"/>
      <c r="O118" s="1"/>
    </row>
    <row r="119" spans="1:15" ht="33" customHeight="1" x14ac:dyDescent="0.25">
      <c r="A119" s="7">
        <f t="shared" ref="A119:A122" si="32">+A118+0.1</f>
        <v>15.1</v>
      </c>
      <c r="B119" s="8" t="s">
        <v>158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52">
        <v>0</v>
      </c>
      <c r="M119" s="9">
        <v>0</v>
      </c>
      <c r="N119" s="9">
        <v>0</v>
      </c>
      <c r="O119" s="5">
        <f t="shared" ref="O119:O122" si="33">SUM(C119:N119)</f>
        <v>0</v>
      </c>
    </row>
    <row r="120" spans="1:15" ht="33" customHeight="1" x14ac:dyDescent="0.25">
      <c r="A120" s="7">
        <f t="shared" si="32"/>
        <v>15.2</v>
      </c>
      <c r="B120" s="8" t="s">
        <v>159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52">
        <v>0</v>
      </c>
      <c r="M120" s="9">
        <v>0</v>
      </c>
      <c r="N120" s="9">
        <v>0</v>
      </c>
      <c r="O120" s="5">
        <f t="shared" si="33"/>
        <v>0</v>
      </c>
    </row>
    <row r="121" spans="1:15" ht="33" customHeight="1" x14ac:dyDescent="0.25">
      <c r="A121" s="7">
        <f t="shared" si="32"/>
        <v>15.299999999999999</v>
      </c>
      <c r="B121" s="8" t="s">
        <v>160</v>
      </c>
      <c r="C121" s="9">
        <v>60</v>
      </c>
      <c r="D121" s="9">
        <v>57</v>
      </c>
      <c r="E121" s="9">
        <v>55</v>
      </c>
      <c r="F121" s="4">
        <v>5</v>
      </c>
      <c r="G121" s="9">
        <v>33</v>
      </c>
      <c r="H121" s="9">
        <v>49</v>
      </c>
      <c r="I121" s="9">
        <v>53</v>
      </c>
      <c r="J121" s="9">
        <v>67</v>
      </c>
      <c r="K121" s="9">
        <v>63</v>
      </c>
      <c r="L121" s="52">
        <v>35</v>
      </c>
      <c r="M121" s="9">
        <v>60</v>
      </c>
      <c r="N121" s="9">
        <v>52</v>
      </c>
      <c r="O121" s="5">
        <f t="shared" si="33"/>
        <v>589</v>
      </c>
    </row>
    <row r="122" spans="1:15" ht="33" customHeight="1" x14ac:dyDescent="0.25">
      <c r="A122" s="7">
        <f t="shared" si="32"/>
        <v>15.399999999999999</v>
      </c>
      <c r="B122" s="8" t="s">
        <v>161</v>
      </c>
      <c r="C122" s="14">
        <v>204043.35</v>
      </c>
      <c r="D122" s="14">
        <v>216331.2</v>
      </c>
      <c r="E122" s="14">
        <v>180709.6</v>
      </c>
      <c r="F122" s="23">
        <v>16507.2</v>
      </c>
      <c r="G122" s="14">
        <v>112944</v>
      </c>
      <c r="H122" s="14">
        <v>165072</v>
      </c>
      <c r="I122" s="14">
        <v>168981.6</v>
      </c>
      <c r="J122" s="14">
        <v>139008</v>
      </c>
      <c r="K122" s="14">
        <v>258468</v>
      </c>
      <c r="L122" s="53">
        <v>129016.8</v>
      </c>
      <c r="M122" s="14">
        <v>172891.2</v>
      </c>
      <c r="N122" s="14">
        <v>172456.8</v>
      </c>
      <c r="O122" s="15">
        <f t="shared" si="33"/>
        <v>1936429.75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" footer="0"/>
  <pageSetup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B3D7"/>
    <pageSetUpPr fitToPage="1"/>
  </sheetPr>
  <dimension ref="A1:O100"/>
  <sheetViews>
    <sheetView topLeftCell="C13" workbookViewId="0">
      <selection activeCell="P16" sqref="P16"/>
    </sheetView>
  </sheetViews>
  <sheetFormatPr baseColWidth="10" defaultColWidth="14.42578125" defaultRowHeight="15" customHeight="1" x14ac:dyDescent="0.25"/>
  <cols>
    <col min="1" max="1" width="8.42578125" customWidth="1"/>
    <col min="2" max="2" width="30.140625" customWidth="1"/>
    <col min="3" max="10" width="14.28515625" customWidth="1"/>
    <col min="11" max="11" width="17.42578125" customWidth="1"/>
    <col min="12" max="12" width="14.28515625" customWidth="1"/>
    <col min="13" max="13" width="17.28515625" customWidth="1"/>
    <col min="14" max="14" width="16.42578125" customWidth="1"/>
    <col min="15" max="15" width="14.42578125" customWidth="1"/>
  </cols>
  <sheetData>
    <row r="1" spans="1:15" ht="32.25" customHeight="1" x14ac:dyDescent="0.25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32.25" customHeight="1" x14ac:dyDescent="0.25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1:15" ht="39.75" customHeight="1" x14ac:dyDescent="0.25">
      <c r="A3" s="63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</row>
    <row r="4" spans="1:15" ht="40.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30" customHeight="1" x14ac:dyDescent="0.25">
      <c r="A5" s="1">
        <v>1</v>
      </c>
      <c r="B5" s="1" t="s">
        <v>162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3" customHeight="1" x14ac:dyDescent="0.25">
      <c r="A6" s="10">
        <f t="shared" ref="A6:A10" si="0">+A5+0.1</f>
        <v>1.1000000000000001</v>
      </c>
      <c r="B6" s="3" t="s">
        <v>163</v>
      </c>
      <c r="C6" s="4">
        <v>1145</v>
      </c>
      <c r="D6" s="4">
        <v>964</v>
      </c>
      <c r="E6" s="4">
        <v>744</v>
      </c>
      <c r="F6" s="4">
        <v>260</v>
      </c>
      <c r="G6" s="4">
        <v>1122</v>
      </c>
      <c r="H6" s="4">
        <v>1753</v>
      </c>
      <c r="I6" s="24">
        <v>1136</v>
      </c>
      <c r="J6" s="4">
        <v>1317</v>
      </c>
      <c r="K6" s="4">
        <v>866</v>
      </c>
      <c r="L6" s="4">
        <v>966</v>
      </c>
      <c r="M6" s="4">
        <v>1812</v>
      </c>
      <c r="N6" s="4">
        <v>1116</v>
      </c>
      <c r="O6" s="5">
        <f t="shared" ref="O6:O10" si="1">SUM(C6:N6)</f>
        <v>13201</v>
      </c>
    </row>
    <row r="7" spans="1:15" ht="33" customHeight="1" x14ac:dyDescent="0.25">
      <c r="A7" s="10">
        <f t="shared" si="0"/>
        <v>1.2000000000000002</v>
      </c>
      <c r="B7" s="3" t="s">
        <v>164</v>
      </c>
      <c r="C7" s="4">
        <v>45</v>
      </c>
      <c r="D7" s="4">
        <v>32</v>
      </c>
      <c r="E7" s="4">
        <v>28</v>
      </c>
      <c r="F7" s="4">
        <v>4</v>
      </c>
      <c r="G7" s="4">
        <v>3</v>
      </c>
      <c r="H7" s="4">
        <v>15</v>
      </c>
      <c r="I7" s="4">
        <v>28</v>
      </c>
      <c r="J7" s="4">
        <v>21</v>
      </c>
      <c r="K7" s="4">
        <v>33</v>
      </c>
      <c r="L7" s="4">
        <v>49</v>
      </c>
      <c r="M7" s="4">
        <v>79</v>
      </c>
      <c r="N7" s="4">
        <v>65</v>
      </c>
      <c r="O7" s="5">
        <f t="shared" si="1"/>
        <v>402</v>
      </c>
    </row>
    <row r="8" spans="1:15" ht="33" customHeight="1" x14ac:dyDescent="0.25">
      <c r="A8" s="10">
        <f t="shared" si="0"/>
        <v>1.3000000000000003</v>
      </c>
      <c r="B8" s="3" t="s">
        <v>165</v>
      </c>
      <c r="C8" s="4">
        <v>1100</v>
      </c>
      <c r="D8" s="4">
        <v>932</v>
      </c>
      <c r="E8" s="4">
        <v>716</v>
      </c>
      <c r="F8" s="4">
        <v>256</v>
      </c>
      <c r="G8" s="4">
        <v>1119</v>
      </c>
      <c r="H8" s="4">
        <v>1738</v>
      </c>
      <c r="I8" s="4">
        <v>1108</v>
      </c>
      <c r="J8" s="4">
        <v>1296</v>
      </c>
      <c r="K8" s="4">
        <v>833</v>
      </c>
      <c r="L8" s="4">
        <v>917</v>
      </c>
      <c r="M8" s="4">
        <v>1733</v>
      </c>
      <c r="N8" s="4">
        <v>1051</v>
      </c>
      <c r="O8" s="5">
        <f t="shared" si="1"/>
        <v>12799</v>
      </c>
    </row>
    <row r="9" spans="1:15" ht="33" customHeight="1" x14ac:dyDescent="0.25">
      <c r="A9" s="10">
        <f t="shared" si="0"/>
        <v>1.4000000000000004</v>
      </c>
      <c r="B9" s="3" t="s">
        <v>166</v>
      </c>
      <c r="C9" s="4">
        <v>5322.6</v>
      </c>
      <c r="D9" s="4">
        <v>3892.16</v>
      </c>
      <c r="E9" s="4">
        <v>3405.64</v>
      </c>
      <c r="F9" s="4">
        <v>486.52</v>
      </c>
      <c r="G9" s="4">
        <v>364.89</v>
      </c>
      <c r="H9" s="4">
        <v>1824.45</v>
      </c>
      <c r="I9" s="4">
        <v>3405.64</v>
      </c>
      <c r="J9" s="4">
        <v>2554.23</v>
      </c>
      <c r="K9" s="4">
        <v>4013.79</v>
      </c>
      <c r="L9" s="4">
        <v>5959.87</v>
      </c>
      <c r="M9" s="4">
        <v>9608.77</v>
      </c>
      <c r="N9" s="4">
        <v>7905.95</v>
      </c>
      <c r="O9" s="5">
        <f t="shared" si="1"/>
        <v>48744.509999999995</v>
      </c>
    </row>
    <row r="10" spans="1:15" ht="33" customHeight="1" x14ac:dyDescent="0.25">
      <c r="A10" s="10">
        <f t="shared" si="0"/>
        <v>1.5000000000000004</v>
      </c>
      <c r="B10" s="3" t="s">
        <v>167</v>
      </c>
      <c r="C10" s="4">
        <v>661</v>
      </c>
      <c r="D10" s="4">
        <v>565</v>
      </c>
      <c r="E10" s="4">
        <v>228</v>
      </c>
      <c r="F10" s="4">
        <v>30</v>
      </c>
      <c r="G10" s="4">
        <v>30</v>
      </c>
      <c r="H10" s="4">
        <v>0</v>
      </c>
      <c r="I10" s="4">
        <v>100</v>
      </c>
      <c r="J10" s="4">
        <v>124</v>
      </c>
      <c r="K10" s="4">
        <v>101</v>
      </c>
      <c r="L10" s="4">
        <v>400</v>
      </c>
      <c r="M10" s="4">
        <v>239</v>
      </c>
      <c r="N10" s="4">
        <v>200</v>
      </c>
      <c r="O10" s="5">
        <f t="shared" si="1"/>
        <v>2678</v>
      </c>
    </row>
    <row r="11" spans="1:15" ht="30" customHeight="1" x14ac:dyDescent="0.25">
      <c r="A11" s="1">
        <f>+A5+1</f>
        <v>2</v>
      </c>
      <c r="B11" s="1" t="s">
        <v>168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3" customHeight="1" x14ac:dyDescent="0.25">
      <c r="A12" s="10">
        <f t="shared" ref="A12:A14" si="2">+A11+0.1</f>
        <v>2.1</v>
      </c>
      <c r="B12" s="3" t="s">
        <v>169</v>
      </c>
      <c r="C12" s="4">
        <v>29</v>
      </c>
      <c r="D12" s="4">
        <v>25</v>
      </c>
      <c r="E12" s="4">
        <v>19</v>
      </c>
      <c r="F12" s="4">
        <v>0</v>
      </c>
      <c r="G12" s="4">
        <v>1</v>
      </c>
      <c r="H12" s="4">
        <v>2</v>
      </c>
      <c r="I12" s="4">
        <v>2</v>
      </c>
      <c r="J12" s="4">
        <v>6</v>
      </c>
      <c r="K12" s="4">
        <v>4</v>
      </c>
      <c r="L12" s="4">
        <v>4</v>
      </c>
      <c r="M12" s="4">
        <v>10</v>
      </c>
      <c r="N12" s="4">
        <v>0</v>
      </c>
      <c r="O12" s="5">
        <f t="shared" ref="O12:O14" si="3">SUM(C12:N12)</f>
        <v>102</v>
      </c>
    </row>
    <row r="13" spans="1:15" ht="33" customHeight="1" x14ac:dyDescent="0.25">
      <c r="A13" s="10">
        <f t="shared" si="2"/>
        <v>2.2000000000000002</v>
      </c>
      <c r="B13" s="3" t="s">
        <v>170</v>
      </c>
      <c r="C13" s="4">
        <v>14</v>
      </c>
      <c r="D13" s="4">
        <v>6</v>
      </c>
      <c r="E13" s="4">
        <v>11</v>
      </c>
      <c r="F13" s="4">
        <v>0</v>
      </c>
      <c r="G13" s="4">
        <v>1</v>
      </c>
      <c r="H13" s="4">
        <v>2</v>
      </c>
      <c r="I13" s="4">
        <v>2</v>
      </c>
      <c r="J13" s="4">
        <v>3</v>
      </c>
      <c r="K13" s="4">
        <v>2</v>
      </c>
      <c r="L13" s="4">
        <v>2</v>
      </c>
      <c r="M13" s="4">
        <v>5</v>
      </c>
      <c r="N13" s="4">
        <v>0</v>
      </c>
      <c r="O13" s="5">
        <f t="shared" si="3"/>
        <v>48</v>
      </c>
    </row>
    <row r="14" spans="1:15" ht="33" customHeight="1" x14ac:dyDescent="0.25">
      <c r="A14" s="10">
        <f t="shared" si="2"/>
        <v>2.3000000000000003</v>
      </c>
      <c r="B14" s="3" t="s">
        <v>171</v>
      </c>
      <c r="C14" s="4">
        <v>15</v>
      </c>
      <c r="D14" s="4">
        <v>19</v>
      </c>
      <c r="E14" s="4">
        <v>8</v>
      </c>
      <c r="F14" s="4">
        <v>0</v>
      </c>
      <c r="G14" s="4">
        <v>0</v>
      </c>
      <c r="H14" s="4">
        <v>0</v>
      </c>
      <c r="I14" s="4">
        <v>0</v>
      </c>
      <c r="J14" s="4">
        <v>3</v>
      </c>
      <c r="K14" s="4">
        <v>2</v>
      </c>
      <c r="L14" s="4">
        <v>2</v>
      </c>
      <c r="M14" s="4">
        <v>5</v>
      </c>
      <c r="N14" s="4">
        <v>0</v>
      </c>
      <c r="O14" s="5">
        <f t="shared" si="3"/>
        <v>54</v>
      </c>
    </row>
    <row r="15" spans="1:15" ht="30" customHeight="1" x14ac:dyDescent="0.25">
      <c r="A15" s="1">
        <f>+A11+1</f>
        <v>3</v>
      </c>
      <c r="B15" s="1" t="s">
        <v>172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34.5" customHeight="1" x14ac:dyDescent="0.25">
      <c r="A16" s="7">
        <f>+A15+0.1</f>
        <v>3.1</v>
      </c>
      <c r="B16" s="8" t="s">
        <v>173</v>
      </c>
      <c r="C16" s="9">
        <v>1057</v>
      </c>
      <c r="D16" s="9">
        <v>1391</v>
      </c>
      <c r="E16" s="9">
        <v>751</v>
      </c>
      <c r="F16" s="9">
        <v>92</v>
      </c>
      <c r="G16" s="9">
        <v>1098</v>
      </c>
      <c r="H16" s="9">
        <v>992</v>
      </c>
      <c r="I16" s="9">
        <v>725</v>
      </c>
      <c r="J16" s="9">
        <v>1180</v>
      </c>
      <c r="K16" s="9">
        <v>1032</v>
      </c>
      <c r="L16" s="9">
        <v>1047</v>
      </c>
      <c r="M16" s="9">
        <v>2842</v>
      </c>
      <c r="N16" s="9">
        <v>1854</v>
      </c>
      <c r="O16" s="5">
        <f>SUM(C16:N16)</f>
        <v>14061</v>
      </c>
    </row>
    <row r="17" spans="1:15" ht="30" customHeight="1" x14ac:dyDescent="0.25">
      <c r="A17" s="1">
        <f>+A15+1</f>
        <v>4</v>
      </c>
      <c r="B17" s="1" t="s">
        <v>174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38.25" customHeight="1" x14ac:dyDescent="0.25">
      <c r="A18" s="7">
        <f>+A17+0.1</f>
        <v>4.0999999999999996</v>
      </c>
      <c r="B18" s="8" t="s">
        <v>175</v>
      </c>
      <c r="C18" s="9">
        <v>570</v>
      </c>
      <c r="D18" s="9">
        <v>667</v>
      </c>
      <c r="E18" s="9">
        <v>307</v>
      </c>
      <c r="F18" s="9">
        <v>205</v>
      </c>
      <c r="G18" s="9">
        <v>220</v>
      </c>
      <c r="H18" s="9">
        <v>273</v>
      </c>
      <c r="I18" s="9">
        <v>181</v>
      </c>
      <c r="J18" s="9">
        <v>242</v>
      </c>
      <c r="K18" s="9">
        <v>210</v>
      </c>
      <c r="L18" s="9">
        <v>317</v>
      </c>
      <c r="M18" s="9">
        <v>190</v>
      </c>
      <c r="N18" s="9">
        <v>120</v>
      </c>
      <c r="O18" s="5">
        <f>SUM(C18:N18)</f>
        <v>3502</v>
      </c>
    </row>
    <row r="19" spans="1:15" ht="30" customHeight="1" x14ac:dyDescent="0.25">
      <c r="A19" s="1">
        <f>+A17+1</f>
        <v>5</v>
      </c>
      <c r="B19" s="1" t="s">
        <v>176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27" customHeight="1" x14ac:dyDescent="0.25">
      <c r="A20" s="7">
        <f t="shared" ref="A20:A24" si="4">+A19+0.1</f>
        <v>5.0999999999999996</v>
      </c>
      <c r="B20" s="8" t="s">
        <v>177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5">
        <f t="shared" ref="O20:O24" si="5">SUM(C20:N20)</f>
        <v>0</v>
      </c>
    </row>
    <row r="21" spans="1:15" ht="33" customHeight="1" x14ac:dyDescent="0.25">
      <c r="A21" s="7">
        <f t="shared" si="4"/>
        <v>5.1999999999999993</v>
      </c>
      <c r="B21" s="8" t="s">
        <v>178</v>
      </c>
      <c r="C21" s="9">
        <v>129</v>
      </c>
      <c r="D21" s="9">
        <v>300</v>
      </c>
      <c r="E21" s="9">
        <v>331</v>
      </c>
      <c r="F21" s="9">
        <v>35</v>
      </c>
      <c r="G21" s="9">
        <v>59</v>
      </c>
      <c r="H21" s="9">
        <v>118</v>
      </c>
      <c r="I21" s="9">
        <v>54</v>
      </c>
      <c r="J21" s="9">
        <v>119</v>
      </c>
      <c r="K21" s="9">
        <v>79</v>
      </c>
      <c r="L21" s="9">
        <v>46</v>
      </c>
      <c r="M21" s="9">
        <v>36</v>
      </c>
      <c r="N21" s="9">
        <v>54</v>
      </c>
      <c r="O21" s="5">
        <f t="shared" si="5"/>
        <v>1360</v>
      </c>
    </row>
    <row r="22" spans="1:15" ht="27" customHeight="1" x14ac:dyDescent="0.25">
      <c r="A22" s="7">
        <f t="shared" si="4"/>
        <v>5.2999999999999989</v>
      </c>
      <c r="B22" s="8" t="s">
        <v>179</v>
      </c>
      <c r="C22" s="9">
        <v>351</v>
      </c>
      <c r="D22" s="9">
        <v>253</v>
      </c>
      <c r="E22" s="9">
        <v>154</v>
      </c>
      <c r="F22" s="9">
        <v>28</v>
      </c>
      <c r="G22" s="9">
        <v>35</v>
      </c>
      <c r="H22" s="9">
        <v>57</v>
      </c>
      <c r="I22" s="9">
        <v>165</v>
      </c>
      <c r="J22" s="9">
        <v>88</v>
      </c>
      <c r="K22" s="9">
        <v>86</v>
      </c>
      <c r="L22" s="9">
        <v>75</v>
      </c>
      <c r="M22" s="9">
        <v>65</v>
      </c>
      <c r="N22" s="9">
        <v>57</v>
      </c>
      <c r="O22" s="5">
        <f t="shared" si="5"/>
        <v>1414</v>
      </c>
    </row>
    <row r="23" spans="1:15" ht="37.5" customHeight="1" x14ac:dyDescent="0.25">
      <c r="A23" s="7">
        <f t="shared" si="4"/>
        <v>5.3999999999999986</v>
      </c>
      <c r="B23" s="8" t="s">
        <v>180</v>
      </c>
      <c r="C23" s="9">
        <v>10</v>
      </c>
      <c r="D23" s="9">
        <v>50</v>
      </c>
      <c r="E23" s="9">
        <v>43</v>
      </c>
      <c r="F23" s="9">
        <v>2</v>
      </c>
      <c r="G23" s="9">
        <v>3</v>
      </c>
      <c r="H23" s="9">
        <v>0</v>
      </c>
      <c r="I23" s="9">
        <v>2</v>
      </c>
      <c r="J23" s="9">
        <v>0</v>
      </c>
      <c r="K23" s="9">
        <v>20</v>
      </c>
      <c r="L23" s="9">
        <v>0</v>
      </c>
      <c r="M23" s="9">
        <v>41</v>
      </c>
      <c r="N23" s="9">
        <v>7</v>
      </c>
      <c r="O23" s="5">
        <f t="shared" si="5"/>
        <v>178</v>
      </c>
    </row>
    <row r="24" spans="1:15" ht="63" customHeight="1" x14ac:dyDescent="0.25">
      <c r="A24" s="7">
        <f t="shared" si="4"/>
        <v>5.4999999999999982</v>
      </c>
      <c r="B24" s="8" t="s">
        <v>181</v>
      </c>
      <c r="C24" s="9">
        <v>8</v>
      </c>
      <c r="D24" s="9">
        <v>11</v>
      </c>
      <c r="E24" s="9">
        <v>5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5">
        <f t="shared" si="5"/>
        <v>24</v>
      </c>
    </row>
    <row r="25" spans="1:15" ht="27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5.75" customHeight="1" x14ac:dyDescent="0.25">
      <c r="A26" s="65" t="s">
        <v>182</v>
      </c>
      <c r="B26" s="6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5.75" customHeight="1" x14ac:dyDescent="0.25">
      <c r="A27" s="67"/>
      <c r="B27" s="68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5.75" customHeight="1" x14ac:dyDescent="0.25">
      <c r="A28" s="25"/>
      <c r="B28" s="2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5.75" customHeight="1" x14ac:dyDescent="0.25">
      <c r="A29" s="25"/>
      <c r="B29" s="2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15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15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5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5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ht="15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15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5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15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</sheetData>
  <mergeCells count="4">
    <mergeCell ref="A26:B27"/>
    <mergeCell ref="A1:O1"/>
    <mergeCell ref="A2:O2"/>
    <mergeCell ref="A3:O3"/>
  </mergeCells>
  <pageMargins left="0.23622047244094491" right="0.23622047244094491" top="0.19685039370078741" bottom="0.19685039370078741" header="0" footer="0"/>
  <pageSetup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00"/>
  <sheetViews>
    <sheetView tabSelected="1" topLeftCell="F1" workbookViewId="0">
      <selection activeCell="S10" sqref="S10"/>
    </sheetView>
  </sheetViews>
  <sheetFormatPr baseColWidth="10" defaultColWidth="14.42578125" defaultRowHeight="15" customHeight="1" x14ac:dyDescent="0.25"/>
  <cols>
    <col min="1" max="1" width="8.42578125" customWidth="1"/>
    <col min="2" max="2" width="34.28515625" customWidth="1"/>
    <col min="3" max="5" width="14.7109375" customWidth="1"/>
    <col min="6" max="7" width="14.28515625" customWidth="1"/>
    <col min="8" max="8" width="17.42578125" customWidth="1"/>
    <col min="9" max="9" width="14.28515625" customWidth="1"/>
    <col min="10" max="10" width="16" customWidth="1"/>
    <col min="11" max="11" width="17.42578125" customWidth="1"/>
    <col min="12" max="12" width="14.28515625" customWidth="1"/>
    <col min="13" max="13" width="17.28515625" customWidth="1"/>
    <col min="14" max="14" width="16.42578125" customWidth="1"/>
    <col min="15" max="15" width="19.5703125" customWidth="1"/>
  </cols>
  <sheetData>
    <row r="1" spans="1:15" ht="32.25" customHeight="1" x14ac:dyDescent="0.25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32.25" customHeight="1" x14ac:dyDescent="0.25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1:15" ht="39.75" customHeight="1" x14ac:dyDescent="0.25">
      <c r="A3" s="63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</row>
    <row r="4" spans="1:15" ht="40.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30" customHeight="1" x14ac:dyDescent="0.25">
      <c r="A5" s="1">
        <v>1</v>
      </c>
      <c r="B5" s="1" t="s">
        <v>183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3" customHeight="1" x14ac:dyDescent="0.25">
      <c r="A6" s="10">
        <f t="shared" ref="A6:A13" si="0">+A5+0.1</f>
        <v>1.1000000000000001</v>
      </c>
      <c r="B6" s="3" t="s">
        <v>184</v>
      </c>
      <c r="C6" s="4">
        <v>49</v>
      </c>
      <c r="D6" s="4">
        <v>49</v>
      </c>
      <c r="E6" s="4">
        <v>34</v>
      </c>
      <c r="F6" s="4">
        <v>0</v>
      </c>
      <c r="G6" s="4">
        <v>0</v>
      </c>
      <c r="H6" s="4">
        <v>6</v>
      </c>
      <c r="I6" s="26">
        <v>17</v>
      </c>
      <c r="J6" s="4">
        <v>14</v>
      </c>
      <c r="K6" s="26">
        <v>6</v>
      </c>
      <c r="L6" s="26">
        <v>21</v>
      </c>
      <c r="M6" s="27">
        <v>0</v>
      </c>
      <c r="N6" s="27">
        <v>0</v>
      </c>
      <c r="O6" s="5">
        <f t="shared" ref="O6:O9" si="1">SUM(C6:N6)</f>
        <v>196</v>
      </c>
    </row>
    <row r="7" spans="1:15" ht="33" customHeight="1" x14ac:dyDescent="0.25">
      <c r="A7" s="10">
        <f t="shared" si="0"/>
        <v>1.2000000000000002</v>
      </c>
      <c r="B7" s="3" t="s">
        <v>185</v>
      </c>
      <c r="C7" s="4">
        <v>832</v>
      </c>
      <c r="D7" s="4">
        <v>1168</v>
      </c>
      <c r="E7" s="4">
        <v>850</v>
      </c>
      <c r="F7" s="4">
        <v>0</v>
      </c>
      <c r="G7" s="4">
        <v>0</v>
      </c>
      <c r="H7" s="4">
        <v>140</v>
      </c>
      <c r="I7" s="26">
        <v>547</v>
      </c>
      <c r="J7" s="4">
        <v>703</v>
      </c>
      <c r="K7" s="26">
        <v>493</v>
      </c>
      <c r="L7" s="26">
        <v>629</v>
      </c>
      <c r="M7" s="27">
        <v>0</v>
      </c>
      <c r="N7" s="27">
        <v>0</v>
      </c>
      <c r="O7" s="5">
        <f t="shared" si="1"/>
        <v>5362</v>
      </c>
    </row>
    <row r="8" spans="1:15" ht="33" customHeight="1" x14ac:dyDescent="0.25">
      <c r="A8" s="10">
        <f t="shared" si="0"/>
        <v>1.3000000000000003</v>
      </c>
      <c r="B8" s="3" t="s">
        <v>186</v>
      </c>
      <c r="C8" s="4">
        <v>540</v>
      </c>
      <c r="D8" s="4">
        <v>727</v>
      </c>
      <c r="E8" s="4">
        <v>514</v>
      </c>
      <c r="F8" s="4">
        <v>0</v>
      </c>
      <c r="G8" s="4">
        <v>0</v>
      </c>
      <c r="H8" s="4">
        <v>130</v>
      </c>
      <c r="I8" s="26">
        <v>355</v>
      </c>
      <c r="J8" s="4">
        <v>472</v>
      </c>
      <c r="K8" s="26">
        <v>379</v>
      </c>
      <c r="L8" s="26">
        <v>556</v>
      </c>
      <c r="M8" s="27">
        <v>0</v>
      </c>
      <c r="N8" s="27">
        <v>0</v>
      </c>
      <c r="O8" s="5">
        <f t="shared" si="1"/>
        <v>3673</v>
      </c>
    </row>
    <row r="9" spans="1:15" ht="33" customHeight="1" x14ac:dyDescent="0.25">
      <c r="A9" s="10">
        <f t="shared" si="0"/>
        <v>1.4000000000000004</v>
      </c>
      <c r="B9" s="3" t="s">
        <v>187</v>
      </c>
      <c r="C9" s="4">
        <v>417</v>
      </c>
      <c r="D9" s="4">
        <v>503</v>
      </c>
      <c r="E9" s="4">
        <v>352</v>
      </c>
      <c r="F9" s="4">
        <v>0</v>
      </c>
      <c r="G9" s="4">
        <v>0</v>
      </c>
      <c r="H9" s="4">
        <v>153</v>
      </c>
      <c r="I9" s="26">
        <v>372</v>
      </c>
      <c r="J9" s="4">
        <v>484</v>
      </c>
      <c r="K9" s="26">
        <v>345</v>
      </c>
      <c r="L9" s="26">
        <v>406</v>
      </c>
      <c r="M9" s="27">
        <v>0</v>
      </c>
      <c r="N9" s="27">
        <v>0</v>
      </c>
      <c r="O9" s="5">
        <f t="shared" si="1"/>
        <v>3032</v>
      </c>
    </row>
    <row r="10" spans="1:15" ht="33" customHeight="1" x14ac:dyDescent="0.25">
      <c r="A10" s="16">
        <f t="shared" si="0"/>
        <v>1.5000000000000004</v>
      </c>
      <c r="B10" s="11" t="s">
        <v>188</v>
      </c>
      <c r="C10" s="5">
        <v>1838</v>
      </c>
      <c r="D10" s="5">
        <v>1694</v>
      </c>
      <c r="E10" s="5">
        <f>SUM(E6:E9)</f>
        <v>1750</v>
      </c>
      <c r="F10" s="5">
        <v>0</v>
      </c>
      <c r="G10" s="5">
        <v>0</v>
      </c>
      <c r="H10" s="5">
        <v>429</v>
      </c>
      <c r="I10" s="28">
        <v>1291</v>
      </c>
      <c r="J10" s="5">
        <v>1673</v>
      </c>
      <c r="K10" s="28">
        <v>1223</v>
      </c>
      <c r="L10" s="28">
        <v>1.6120000000000001</v>
      </c>
      <c r="M10" s="29">
        <v>0</v>
      </c>
      <c r="N10" s="29">
        <v>0</v>
      </c>
      <c r="O10" s="5">
        <f>SUM(O6:O9)</f>
        <v>12263</v>
      </c>
    </row>
    <row r="11" spans="1:15" ht="33" customHeight="1" x14ac:dyDescent="0.25">
      <c r="A11" s="10">
        <f t="shared" si="0"/>
        <v>1.6000000000000005</v>
      </c>
      <c r="B11" s="3" t="s">
        <v>189</v>
      </c>
      <c r="C11" s="30">
        <v>459900</v>
      </c>
      <c r="D11" s="4">
        <v>611750</v>
      </c>
      <c r="E11" s="4">
        <v>437500</v>
      </c>
      <c r="F11" s="4">
        <v>0</v>
      </c>
      <c r="G11" s="4">
        <v>0</v>
      </c>
      <c r="H11" s="23">
        <v>107250</v>
      </c>
      <c r="I11" s="31">
        <v>322750</v>
      </c>
      <c r="J11" s="4">
        <v>418250</v>
      </c>
      <c r="K11" s="32">
        <v>305750</v>
      </c>
      <c r="L11" s="31">
        <v>403000</v>
      </c>
      <c r="M11" s="31">
        <v>0</v>
      </c>
      <c r="N11" s="31"/>
      <c r="O11" s="15">
        <f t="shared" ref="O11:O12" si="2">SUM(C11:N11)</f>
        <v>3066150</v>
      </c>
    </row>
    <row r="12" spans="1:15" ht="33" customHeight="1" x14ac:dyDescent="0.25">
      <c r="A12" s="10">
        <f t="shared" si="0"/>
        <v>1.7000000000000006</v>
      </c>
      <c r="B12" s="3" t="s">
        <v>190</v>
      </c>
      <c r="C12" s="30">
        <v>0</v>
      </c>
      <c r="D12" s="4"/>
      <c r="E12" s="4"/>
      <c r="F12" s="4"/>
      <c r="G12" s="4"/>
      <c r="H12" s="4"/>
      <c r="I12" s="26"/>
      <c r="J12" s="4"/>
      <c r="K12" s="32">
        <v>0</v>
      </c>
      <c r="L12" s="26"/>
      <c r="M12" s="26"/>
      <c r="N12" s="26"/>
      <c r="O12" s="15">
        <f t="shared" si="2"/>
        <v>0</v>
      </c>
    </row>
    <row r="13" spans="1:15" ht="33" customHeight="1" x14ac:dyDescent="0.25">
      <c r="A13" s="16">
        <f t="shared" si="0"/>
        <v>1.8000000000000007</v>
      </c>
      <c r="B13" s="11" t="s">
        <v>191</v>
      </c>
      <c r="C13" s="33">
        <v>459900</v>
      </c>
      <c r="D13" s="33">
        <v>611750</v>
      </c>
      <c r="E13" s="15">
        <v>437500</v>
      </c>
      <c r="F13" s="15">
        <v>0</v>
      </c>
      <c r="G13" s="15">
        <v>0</v>
      </c>
      <c r="H13" s="15">
        <v>107250</v>
      </c>
      <c r="I13" s="34">
        <v>322750</v>
      </c>
      <c r="J13" s="15">
        <v>418250</v>
      </c>
      <c r="K13" s="35">
        <v>305750</v>
      </c>
      <c r="L13" s="34">
        <v>403000</v>
      </c>
      <c r="M13" s="34">
        <v>0</v>
      </c>
      <c r="N13" s="34">
        <v>0</v>
      </c>
      <c r="O13" s="15">
        <f>SUM(O11:O12)</f>
        <v>3066150</v>
      </c>
    </row>
    <row r="14" spans="1:15" ht="30" customHeight="1" x14ac:dyDescent="0.25">
      <c r="A14" s="1">
        <f>+A5+1</f>
        <v>2</v>
      </c>
      <c r="B14" s="1" t="s">
        <v>192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41.25" customHeight="1" x14ac:dyDescent="0.25">
      <c r="A15" s="7">
        <f t="shared" ref="A15:A18" si="3">+A14+0.1</f>
        <v>2.1</v>
      </c>
      <c r="B15" s="8" t="s">
        <v>193</v>
      </c>
      <c r="C15" s="9">
        <v>116</v>
      </c>
      <c r="D15" s="4">
        <v>127</v>
      </c>
      <c r="E15" s="4">
        <v>176</v>
      </c>
      <c r="F15" s="4">
        <v>31</v>
      </c>
      <c r="G15" s="4">
        <v>41</v>
      </c>
      <c r="H15" s="4">
        <v>117</v>
      </c>
      <c r="I15" s="4">
        <v>131</v>
      </c>
      <c r="J15" s="4">
        <v>113</v>
      </c>
      <c r="K15" s="4">
        <v>216</v>
      </c>
      <c r="L15" s="4">
        <v>105</v>
      </c>
      <c r="M15" s="4">
        <v>0</v>
      </c>
      <c r="N15" s="4">
        <v>0</v>
      </c>
      <c r="O15" s="5">
        <f t="shared" ref="O15:O18" si="4">SUM(C15:N15)</f>
        <v>1173</v>
      </c>
    </row>
    <row r="16" spans="1:15" ht="38.25" customHeight="1" x14ac:dyDescent="0.25">
      <c r="A16" s="7">
        <f t="shared" si="3"/>
        <v>2.2000000000000002</v>
      </c>
      <c r="B16" s="8" t="s">
        <v>194</v>
      </c>
      <c r="C16" s="9">
        <v>76</v>
      </c>
      <c r="D16" s="4">
        <v>285</v>
      </c>
      <c r="E16" s="4">
        <v>160</v>
      </c>
      <c r="F16" s="4">
        <v>24</v>
      </c>
      <c r="G16" s="4">
        <v>26</v>
      </c>
      <c r="H16" s="4">
        <v>96</v>
      </c>
      <c r="I16" s="4">
        <v>99</v>
      </c>
      <c r="J16" s="4">
        <v>95</v>
      </c>
      <c r="K16" s="4">
        <v>144</v>
      </c>
      <c r="L16" s="4">
        <v>434</v>
      </c>
      <c r="M16" s="4">
        <v>0</v>
      </c>
      <c r="N16" s="4">
        <v>0</v>
      </c>
      <c r="O16" s="5">
        <f t="shared" si="4"/>
        <v>1439</v>
      </c>
    </row>
    <row r="17" spans="1:15" ht="45.75" customHeight="1" x14ac:dyDescent="0.25">
      <c r="A17" s="7">
        <f t="shared" si="3"/>
        <v>2.3000000000000003</v>
      </c>
      <c r="B17" s="8" t="s">
        <v>195</v>
      </c>
      <c r="C17" s="9">
        <v>64</v>
      </c>
      <c r="D17" s="4">
        <v>28</v>
      </c>
      <c r="E17" s="4">
        <v>2</v>
      </c>
      <c r="F17" s="4">
        <v>0</v>
      </c>
      <c r="G17" s="4">
        <v>0</v>
      </c>
      <c r="H17" s="4">
        <v>2</v>
      </c>
      <c r="I17" s="4">
        <v>2</v>
      </c>
      <c r="J17" s="4">
        <v>1</v>
      </c>
      <c r="K17" s="4">
        <v>6</v>
      </c>
      <c r="L17" s="4">
        <v>4</v>
      </c>
      <c r="M17" s="4">
        <v>0</v>
      </c>
      <c r="N17" s="4">
        <v>0</v>
      </c>
      <c r="O17" s="5">
        <f t="shared" si="4"/>
        <v>109</v>
      </c>
    </row>
    <row r="18" spans="1:15" ht="27" customHeight="1" x14ac:dyDescent="0.25">
      <c r="A18" s="7">
        <f t="shared" si="3"/>
        <v>2.4000000000000004</v>
      </c>
      <c r="B18" s="8" t="s">
        <v>162</v>
      </c>
      <c r="C18" s="9">
        <v>6</v>
      </c>
      <c r="D18" s="4">
        <v>10</v>
      </c>
      <c r="E18" s="4">
        <v>2</v>
      </c>
      <c r="F18" s="4">
        <v>0</v>
      </c>
      <c r="G18" s="4">
        <v>4</v>
      </c>
      <c r="H18" s="4">
        <v>2</v>
      </c>
      <c r="I18" s="4">
        <v>5</v>
      </c>
      <c r="J18" s="4">
        <v>6</v>
      </c>
      <c r="K18" s="4">
        <v>6</v>
      </c>
      <c r="L18" s="4">
        <v>7</v>
      </c>
      <c r="M18" s="4">
        <v>0</v>
      </c>
      <c r="N18" s="4">
        <v>0</v>
      </c>
      <c r="O18" s="5">
        <f t="shared" si="4"/>
        <v>48</v>
      </c>
    </row>
    <row r="19" spans="1:15" ht="15.7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5.7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5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5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5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5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5.7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5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5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15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15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5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5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ht="15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15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5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15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" footer="0"/>
  <pageSetup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100"/>
  <sheetViews>
    <sheetView topLeftCell="H13" workbookViewId="0">
      <selection activeCell="Q34" sqref="Q34"/>
    </sheetView>
  </sheetViews>
  <sheetFormatPr baseColWidth="10" defaultColWidth="14.42578125" defaultRowHeight="15" customHeight="1" x14ac:dyDescent="0.25"/>
  <cols>
    <col min="1" max="1" width="8.42578125" customWidth="1"/>
    <col min="2" max="2" width="37.85546875" customWidth="1"/>
    <col min="3" max="15" width="14.28515625" customWidth="1"/>
  </cols>
  <sheetData>
    <row r="1" spans="1:15" ht="32.25" customHeight="1" x14ac:dyDescent="0.25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32.25" customHeight="1" x14ac:dyDescent="0.25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1:15" ht="51.75" customHeight="1" x14ac:dyDescent="0.25">
      <c r="A3" s="63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</row>
    <row r="4" spans="1:15" ht="40.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30" customHeight="1" x14ac:dyDescent="0.25">
      <c r="A5" s="1">
        <v>1</v>
      </c>
      <c r="B5" s="1" t="s">
        <v>196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3" customHeight="1" x14ac:dyDescent="0.25">
      <c r="A6" s="10">
        <f t="shared" ref="A6:A11" si="0">+A5+0.1</f>
        <v>1.1000000000000001</v>
      </c>
      <c r="B6" s="3" t="s">
        <v>197</v>
      </c>
      <c r="C6" s="36">
        <v>415</v>
      </c>
      <c r="D6" s="4">
        <v>279</v>
      </c>
      <c r="E6" s="36">
        <v>185</v>
      </c>
      <c r="F6" s="4">
        <v>109</v>
      </c>
      <c r="G6" s="4">
        <v>122</v>
      </c>
      <c r="H6" s="36">
        <v>270</v>
      </c>
      <c r="I6" s="36">
        <v>196</v>
      </c>
      <c r="J6" s="4">
        <v>244</v>
      </c>
      <c r="K6" s="4">
        <v>315</v>
      </c>
      <c r="L6" s="4">
        <v>252</v>
      </c>
      <c r="M6" s="4">
        <v>185</v>
      </c>
      <c r="N6" s="4">
        <v>123</v>
      </c>
      <c r="O6" s="5">
        <f t="shared" ref="O6:O11" si="1">SUM(C6:N6)</f>
        <v>2695</v>
      </c>
    </row>
    <row r="7" spans="1:15" ht="33" customHeight="1" x14ac:dyDescent="0.25">
      <c r="A7" s="10">
        <f t="shared" si="0"/>
        <v>1.2000000000000002</v>
      </c>
      <c r="B7" s="3" t="s">
        <v>198</v>
      </c>
      <c r="C7" s="36">
        <v>32</v>
      </c>
      <c r="D7" s="4">
        <v>30</v>
      </c>
      <c r="E7" s="36">
        <v>19</v>
      </c>
      <c r="F7" s="4">
        <v>3</v>
      </c>
      <c r="G7" s="4">
        <v>34</v>
      </c>
      <c r="H7" s="36">
        <v>89</v>
      </c>
      <c r="I7" s="36">
        <v>154</v>
      </c>
      <c r="J7" s="4">
        <v>152</v>
      </c>
      <c r="K7" s="4">
        <v>192</v>
      </c>
      <c r="L7" s="4">
        <v>275</v>
      </c>
      <c r="M7" s="4">
        <v>185</v>
      </c>
      <c r="N7" s="4">
        <v>22</v>
      </c>
      <c r="O7" s="5">
        <f t="shared" si="1"/>
        <v>1187</v>
      </c>
    </row>
    <row r="8" spans="1:15" ht="33" customHeight="1" x14ac:dyDescent="0.25">
      <c r="A8" s="10">
        <f t="shared" si="0"/>
        <v>1.3000000000000003</v>
      </c>
      <c r="B8" s="3" t="s">
        <v>199</v>
      </c>
      <c r="C8" s="36">
        <v>227</v>
      </c>
      <c r="D8" s="4">
        <v>175</v>
      </c>
      <c r="E8" s="36">
        <v>161</v>
      </c>
      <c r="F8" s="4">
        <v>123</v>
      </c>
      <c r="G8" s="4">
        <v>135</v>
      </c>
      <c r="H8" s="36">
        <v>141</v>
      </c>
      <c r="I8" s="36">
        <v>197</v>
      </c>
      <c r="J8" s="4">
        <v>107</v>
      </c>
      <c r="K8" s="4">
        <v>102</v>
      </c>
      <c r="L8" s="4">
        <v>119</v>
      </c>
      <c r="M8" s="4">
        <v>56</v>
      </c>
      <c r="N8" s="4">
        <v>56</v>
      </c>
      <c r="O8" s="5">
        <f t="shared" si="1"/>
        <v>1599</v>
      </c>
    </row>
    <row r="9" spans="1:15" ht="33" customHeight="1" x14ac:dyDescent="0.25">
      <c r="A9" s="10">
        <f t="shared" si="0"/>
        <v>1.4000000000000004</v>
      </c>
      <c r="B9" s="3" t="s">
        <v>200</v>
      </c>
      <c r="C9" s="36">
        <v>165</v>
      </c>
      <c r="D9" s="4">
        <v>116</v>
      </c>
      <c r="E9" s="36">
        <v>143</v>
      </c>
      <c r="F9" s="4">
        <v>88</v>
      </c>
      <c r="G9" s="4">
        <v>99</v>
      </c>
      <c r="H9" s="36">
        <v>180</v>
      </c>
      <c r="I9" s="36">
        <v>189</v>
      </c>
      <c r="J9" s="4">
        <v>181</v>
      </c>
      <c r="K9" s="4">
        <v>242</v>
      </c>
      <c r="L9" s="4">
        <v>295</v>
      </c>
      <c r="M9" s="4">
        <v>164</v>
      </c>
      <c r="N9" s="4">
        <v>120</v>
      </c>
      <c r="O9" s="5">
        <f t="shared" si="1"/>
        <v>1982</v>
      </c>
    </row>
    <row r="10" spans="1:15" ht="33" customHeight="1" x14ac:dyDescent="0.25">
      <c r="A10" s="10">
        <f t="shared" si="0"/>
        <v>1.5000000000000004</v>
      </c>
      <c r="B10" s="3" t="s">
        <v>201</v>
      </c>
      <c r="C10" s="36">
        <v>403</v>
      </c>
      <c r="D10" s="4">
        <v>361</v>
      </c>
      <c r="E10" s="36">
        <v>265</v>
      </c>
      <c r="F10" s="4">
        <v>161</v>
      </c>
      <c r="G10" s="4">
        <v>235</v>
      </c>
      <c r="H10" s="36">
        <v>16</v>
      </c>
      <c r="I10" s="36">
        <v>1</v>
      </c>
      <c r="J10" s="4">
        <v>0</v>
      </c>
      <c r="K10" s="4">
        <v>0</v>
      </c>
      <c r="L10" s="4">
        <v>3</v>
      </c>
      <c r="M10" s="4">
        <v>0</v>
      </c>
      <c r="N10" s="4">
        <v>0</v>
      </c>
      <c r="O10" s="5">
        <f t="shared" si="1"/>
        <v>1445</v>
      </c>
    </row>
    <row r="11" spans="1:15" ht="33" customHeight="1" x14ac:dyDescent="0.25">
      <c r="A11" s="10">
        <f t="shared" si="0"/>
        <v>1.6000000000000005</v>
      </c>
      <c r="B11" s="3" t="s">
        <v>202</v>
      </c>
      <c r="C11" s="36">
        <v>3821</v>
      </c>
      <c r="D11" s="4">
        <v>3453</v>
      </c>
      <c r="E11" s="36">
        <v>2639</v>
      </c>
      <c r="F11" s="4">
        <v>1259</v>
      </c>
      <c r="G11" s="4">
        <v>3036</v>
      </c>
      <c r="H11" s="36">
        <v>3935</v>
      </c>
      <c r="I11" s="36">
        <v>3087</v>
      </c>
      <c r="J11" s="4">
        <v>3065</v>
      </c>
      <c r="K11" s="4">
        <v>3191</v>
      </c>
      <c r="L11" s="4">
        <v>3234</v>
      </c>
      <c r="M11" s="4">
        <v>4026</v>
      </c>
      <c r="N11" s="4">
        <v>2776</v>
      </c>
      <c r="O11" s="5">
        <f t="shared" si="1"/>
        <v>37522</v>
      </c>
    </row>
    <row r="12" spans="1:15" ht="30" customHeight="1" x14ac:dyDescent="0.25">
      <c r="A12" s="1">
        <f>+A5+1</f>
        <v>2</v>
      </c>
      <c r="B12" s="1" t="s">
        <v>203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35.25" customHeight="1" x14ac:dyDescent="0.25">
      <c r="A13" s="7">
        <f t="shared" ref="A13:A17" si="2">+A12+0.1</f>
        <v>2.1</v>
      </c>
      <c r="B13" s="8" t="s">
        <v>204</v>
      </c>
      <c r="C13" s="36">
        <v>139</v>
      </c>
      <c r="D13" s="4">
        <v>215</v>
      </c>
      <c r="E13" s="36">
        <v>138</v>
      </c>
      <c r="F13" s="36">
        <v>0</v>
      </c>
      <c r="G13" s="4">
        <v>7</v>
      </c>
      <c r="H13" s="36">
        <v>0</v>
      </c>
      <c r="I13" s="36">
        <v>20</v>
      </c>
      <c r="J13" s="4">
        <v>22</v>
      </c>
      <c r="K13" s="4">
        <v>20</v>
      </c>
      <c r="L13" s="4">
        <v>175</v>
      </c>
      <c r="M13" s="4">
        <v>14</v>
      </c>
      <c r="N13" s="4">
        <v>10</v>
      </c>
      <c r="O13" s="5">
        <f t="shared" ref="O13:O17" si="3">SUM(C13:N13)</f>
        <v>760</v>
      </c>
    </row>
    <row r="14" spans="1:15" ht="35.25" customHeight="1" x14ac:dyDescent="0.25">
      <c r="A14" s="7">
        <f t="shared" si="2"/>
        <v>2.2000000000000002</v>
      </c>
      <c r="B14" s="8" t="s">
        <v>205</v>
      </c>
      <c r="C14" s="36">
        <v>576</v>
      </c>
      <c r="D14" s="4">
        <v>672</v>
      </c>
      <c r="E14" s="36">
        <v>354</v>
      </c>
      <c r="F14" s="36">
        <v>28</v>
      </c>
      <c r="G14" s="4">
        <v>56</v>
      </c>
      <c r="H14" s="36">
        <v>124</v>
      </c>
      <c r="I14" s="36">
        <v>133</v>
      </c>
      <c r="J14" s="4">
        <v>313</v>
      </c>
      <c r="K14" s="4">
        <v>157</v>
      </c>
      <c r="L14" s="4">
        <v>149</v>
      </c>
      <c r="M14" s="4">
        <v>42</v>
      </c>
      <c r="N14" s="4">
        <v>47</v>
      </c>
      <c r="O14" s="5">
        <f t="shared" si="3"/>
        <v>2651</v>
      </c>
    </row>
    <row r="15" spans="1:15" ht="35.25" customHeight="1" x14ac:dyDescent="0.25">
      <c r="A15" s="7">
        <f t="shared" si="2"/>
        <v>2.3000000000000003</v>
      </c>
      <c r="B15" s="8" t="s">
        <v>206</v>
      </c>
      <c r="C15" s="36">
        <v>40</v>
      </c>
      <c r="D15" s="4">
        <v>33</v>
      </c>
      <c r="E15" s="36">
        <v>24</v>
      </c>
      <c r="F15" s="36">
        <v>1</v>
      </c>
      <c r="G15" s="4">
        <v>8</v>
      </c>
      <c r="H15" s="36">
        <v>6</v>
      </c>
      <c r="I15" s="37">
        <v>16</v>
      </c>
      <c r="J15" s="4">
        <v>12</v>
      </c>
      <c r="K15" s="4">
        <v>16</v>
      </c>
      <c r="L15" s="4">
        <v>9</v>
      </c>
      <c r="M15" s="4">
        <v>1</v>
      </c>
      <c r="N15" s="4">
        <v>0</v>
      </c>
      <c r="O15" s="5">
        <f t="shared" si="3"/>
        <v>166</v>
      </c>
    </row>
    <row r="16" spans="1:15" ht="35.25" customHeight="1" x14ac:dyDescent="0.25">
      <c r="A16" s="7">
        <f t="shared" si="2"/>
        <v>2.4000000000000004</v>
      </c>
      <c r="B16" s="8" t="s">
        <v>207</v>
      </c>
      <c r="C16" s="36">
        <v>65</v>
      </c>
      <c r="D16" s="4">
        <v>47</v>
      </c>
      <c r="E16" s="36">
        <v>45</v>
      </c>
      <c r="F16" s="36">
        <v>2</v>
      </c>
      <c r="G16" s="4">
        <v>12</v>
      </c>
      <c r="H16" s="36">
        <v>36</v>
      </c>
      <c r="I16" s="36">
        <v>46</v>
      </c>
      <c r="J16" s="4">
        <v>43</v>
      </c>
      <c r="K16" s="4">
        <v>40</v>
      </c>
      <c r="L16" s="4">
        <v>38</v>
      </c>
      <c r="M16" s="4">
        <v>23</v>
      </c>
      <c r="N16" s="4">
        <v>21</v>
      </c>
      <c r="O16" s="5">
        <f t="shared" si="3"/>
        <v>418</v>
      </c>
    </row>
    <row r="17" spans="1:15" ht="35.25" customHeight="1" x14ac:dyDescent="0.25">
      <c r="A17" s="7">
        <f t="shared" si="2"/>
        <v>2.5000000000000004</v>
      </c>
      <c r="B17" s="8" t="s">
        <v>208</v>
      </c>
      <c r="C17" s="36">
        <v>39</v>
      </c>
      <c r="D17" s="4">
        <v>47</v>
      </c>
      <c r="E17" s="36">
        <v>47</v>
      </c>
      <c r="F17" s="36">
        <v>18</v>
      </c>
      <c r="G17" s="4">
        <v>65</v>
      </c>
      <c r="H17" s="36">
        <v>4</v>
      </c>
      <c r="I17" s="36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5">
        <f t="shared" si="3"/>
        <v>220</v>
      </c>
    </row>
    <row r="18" spans="1:15" ht="15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5.75" customHeight="1" x14ac:dyDescent="0.25">
      <c r="A19" s="6" t="s">
        <v>209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5.7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5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5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5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5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5.7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5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5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15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15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5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5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ht="15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15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5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15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" footer="0"/>
  <pageSetup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38953"/>
    <pageSetUpPr fitToPage="1"/>
  </sheetPr>
  <dimension ref="A1:O100"/>
  <sheetViews>
    <sheetView topLeftCell="E1" workbookViewId="0">
      <selection activeCell="N17" sqref="N17"/>
    </sheetView>
  </sheetViews>
  <sheetFormatPr baseColWidth="10" defaultColWidth="14.42578125" defaultRowHeight="15" customHeight="1" x14ac:dyDescent="0.25"/>
  <cols>
    <col min="1" max="1" width="8.42578125" customWidth="1"/>
    <col min="2" max="2" width="44.140625" customWidth="1"/>
    <col min="3" max="3" width="12.42578125" customWidth="1"/>
    <col min="4" max="4" width="14.42578125" customWidth="1"/>
    <col min="5" max="5" width="12.85546875" customWidth="1"/>
    <col min="6" max="6" width="11.5703125" customWidth="1"/>
    <col min="7" max="7" width="12" customWidth="1"/>
    <col min="8" max="8" width="11.5703125" customWidth="1"/>
    <col min="9" max="9" width="11" customWidth="1"/>
    <col min="10" max="10" width="13.42578125" customWidth="1"/>
    <col min="11" max="11" width="18.42578125" customWidth="1"/>
    <col min="12" max="12" width="14.42578125" customWidth="1"/>
    <col min="13" max="13" width="17.28515625" customWidth="1"/>
    <col min="14" max="14" width="16.42578125" customWidth="1"/>
    <col min="15" max="15" width="11.7109375" customWidth="1"/>
  </cols>
  <sheetData>
    <row r="1" spans="1:15" ht="32.25" customHeight="1" x14ac:dyDescent="0.25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32.25" customHeight="1" x14ac:dyDescent="0.25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1:15" ht="39.75" customHeight="1" x14ac:dyDescent="0.25">
      <c r="A3" s="63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</row>
    <row r="4" spans="1:15" ht="40.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44.25" customHeight="1" x14ac:dyDescent="0.25">
      <c r="A5" s="10">
        <v>1</v>
      </c>
      <c r="B5" s="3" t="s">
        <v>210</v>
      </c>
      <c r="C5" s="4">
        <v>3</v>
      </c>
      <c r="D5" s="4">
        <v>12</v>
      </c>
      <c r="E5" s="4">
        <v>10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7">
        <v>0</v>
      </c>
      <c r="M5" s="4">
        <v>0</v>
      </c>
      <c r="N5" s="4">
        <v>0</v>
      </c>
      <c r="O5" s="5">
        <f t="shared" ref="O5:O7" si="0">SUM(C5:N5)</f>
        <v>25</v>
      </c>
    </row>
    <row r="6" spans="1:15" ht="46.5" customHeight="1" x14ac:dyDescent="0.25">
      <c r="A6" s="7">
        <f t="shared" ref="A6:A7" si="1">+A5+1</f>
        <v>2</v>
      </c>
      <c r="B6" s="3" t="s">
        <v>211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7">
        <v>0</v>
      </c>
      <c r="M6" s="4">
        <v>0</v>
      </c>
      <c r="N6" s="4">
        <v>0</v>
      </c>
      <c r="O6" s="5">
        <f t="shared" si="0"/>
        <v>0</v>
      </c>
    </row>
    <row r="7" spans="1:15" ht="57.75" customHeight="1" x14ac:dyDescent="0.25">
      <c r="A7" s="7">
        <f t="shared" si="1"/>
        <v>3</v>
      </c>
      <c r="B7" s="3" t="s">
        <v>212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7">
        <v>0</v>
      </c>
      <c r="M7" s="4">
        <v>0</v>
      </c>
      <c r="N7" s="4">
        <v>0</v>
      </c>
      <c r="O7" s="5">
        <f t="shared" si="0"/>
        <v>0</v>
      </c>
    </row>
    <row r="8" spans="1:15" ht="15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5.7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5.7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5.7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.7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5.7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5.7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.7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.75" customHeight="1" x14ac:dyDescent="0.25">
      <c r="A16" s="6"/>
      <c r="B16" s="6"/>
      <c r="C16" s="6"/>
      <c r="D16" s="6"/>
      <c r="E16" s="6"/>
      <c r="F16" s="6"/>
      <c r="G16" s="6" t="s">
        <v>213</v>
      </c>
      <c r="H16" s="6"/>
      <c r="I16" s="6"/>
      <c r="J16" s="6"/>
      <c r="K16" s="6"/>
      <c r="L16" s="6"/>
      <c r="M16" s="6"/>
      <c r="N16" s="6"/>
      <c r="O16" s="6"/>
    </row>
    <row r="17" spans="1:15" ht="15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5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5.7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5.7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5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5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5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5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5.7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5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5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15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15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5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5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ht="15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15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5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15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Hoja2</vt:lpstr>
      <vt:lpstr>Hoja3</vt:lpstr>
      <vt:lpstr>Admtva.</vt:lpstr>
      <vt:lpstr>Com</vt:lpstr>
      <vt:lpstr>Prot. C</vt:lpstr>
      <vt:lpstr>Part.C</vt:lpstr>
      <vt:lpstr>CS</vt:lpstr>
      <vt:lpstr>DAC</vt:lpstr>
      <vt:lpstr>IV</vt:lpstr>
      <vt:lpstr>Jur</vt:lpstr>
      <vt:lpstr>Tec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Agustin Hernandez Vega</cp:lastModifiedBy>
  <cp:lastPrinted>2017-02-02T17:11:31Z</cp:lastPrinted>
  <dcterms:created xsi:type="dcterms:W3CDTF">2013-01-10T16:37:33Z</dcterms:created>
  <dcterms:modified xsi:type="dcterms:W3CDTF">2021-01-11T20:29:11Z</dcterms:modified>
</cp:coreProperties>
</file>