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300" firstSheet="2" activeTab="2"/>
  </bookViews>
  <sheets>
    <sheet name="Hoja2" sheetId="1" state="hidden" r:id="rId1"/>
    <sheet name="Hoja3" sheetId="2" state="hidden" r:id="rId2"/>
    <sheet name="Admtva." sheetId="3" r:id="rId3"/>
    <sheet name="Com" sheetId="4" r:id="rId4"/>
    <sheet name="Prot. C" sheetId="5" r:id="rId5"/>
    <sheet name="Part.C" sheetId="6" r:id="rId6"/>
    <sheet name="CS" sheetId="7" r:id="rId7"/>
    <sheet name="DAC" sheetId="8" r:id="rId8"/>
    <sheet name="IV" sheetId="9" r:id="rId9"/>
    <sheet name="Jur" sheetId="10" r:id="rId10"/>
    <sheet name="Tec" sheetId="11" r:id="rId11"/>
  </sheets>
  <calcPr calcId="145621"/>
</workbook>
</file>

<file path=xl/calcChain.xml><?xml version="1.0" encoding="utf-8"?>
<calcChain xmlns="http://schemas.openxmlformats.org/spreadsheetml/2006/main">
  <c r="N29" i="4" l="1"/>
  <c r="N80" i="10" l="1"/>
  <c r="N79" i="10"/>
  <c r="N78" i="10"/>
  <c r="N76" i="10"/>
  <c r="N65" i="10"/>
  <c r="N45" i="10"/>
  <c r="N40" i="10"/>
  <c r="N38" i="10"/>
  <c r="N35" i="10"/>
  <c r="N30" i="10"/>
  <c r="N27" i="10"/>
  <c r="N22" i="10"/>
  <c r="N19" i="10"/>
  <c r="N14" i="10"/>
  <c r="N11" i="10"/>
  <c r="N8" i="10"/>
  <c r="N6" i="10"/>
  <c r="M29" i="4" l="1"/>
  <c r="M80" i="10" l="1"/>
  <c r="M79" i="10"/>
  <c r="M78" i="10"/>
  <c r="M76" i="10"/>
  <c r="M65" i="10"/>
  <c r="M45" i="10"/>
  <c r="M40" i="10"/>
  <c r="M38" i="10"/>
  <c r="M35" i="10"/>
  <c r="M30" i="10"/>
  <c r="M28" i="10"/>
  <c r="M27" i="10"/>
  <c r="M22" i="10"/>
  <c r="M20" i="10"/>
  <c r="M19" i="10"/>
  <c r="M14" i="10"/>
  <c r="M12" i="10"/>
  <c r="M11" i="10"/>
  <c r="M8" i="10"/>
  <c r="M6" i="10"/>
  <c r="L29" i="4" l="1"/>
  <c r="L80" i="10" l="1"/>
  <c r="L79" i="10"/>
  <c r="L78" i="10"/>
  <c r="L76" i="10"/>
  <c r="L65" i="10"/>
  <c r="L45" i="10"/>
  <c r="L40" i="10"/>
  <c r="L39" i="10"/>
  <c r="L38" i="10"/>
  <c r="L35" i="10"/>
  <c r="L30" i="10"/>
  <c r="L27" i="10"/>
  <c r="L22" i="10"/>
  <c r="L19" i="10"/>
  <c r="L14" i="10"/>
  <c r="L11" i="10"/>
  <c r="L10" i="10"/>
  <c r="L6" i="10"/>
  <c r="K80" i="10" l="1"/>
  <c r="K79" i="10"/>
  <c r="K78" i="10"/>
  <c r="K76" i="10"/>
  <c r="K65" i="10"/>
  <c r="K45" i="10"/>
  <c r="K40" i="10"/>
  <c r="K39" i="10"/>
  <c r="K38" i="10"/>
  <c r="K35" i="10"/>
  <c r="K30" i="10"/>
  <c r="K28" i="10"/>
  <c r="K27" i="10"/>
  <c r="K22" i="10"/>
  <c r="K20" i="10"/>
  <c r="K19" i="10"/>
  <c r="K14" i="10"/>
  <c r="K12" i="10"/>
  <c r="K11" i="10"/>
  <c r="K8" i="10"/>
  <c r="K6" i="10"/>
  <c r="K29" i="4" l="1"/>
  <c r="J80" i="10" l="1"/>
  <c r="J79" i="10"/>
  <c r="J78" i="10"/>
  <c r="J76" i="10"/>
  <c r="J65" i="10"/>
  <c r="J45" i="10"/>
  <c r="J40" i="10"/>
  <c r="J39" i="10"/>
  <c r="J38" i="10"/>
  <c r="J35" i="10"/>
  <c r="J27" i="10"/>
  <c r="J22" i="10"/>
  <c r="J19" i="10"/>
  <c r="J14" i="10"/>
  <c r="J11" i="10"/>
  <c r="J8" i="10"/>
  <c r="J6" i="10"/>
  <c r="J29" i="4" l="1"/>
  <c r="G29" i="4" l="1"/>
  <c r="G80" i="10" l="1"/>
  <c r="G79" i="10"/>
  <c r="G78" i="10"/>
  <c r="G76" i="10"/>
  <c r="G65" i="10"/>
  <c r="G45" i="10"/>
  <c r="G40" i="10"/>
  <c r="G39" i="10"/>
  <c r="G38" i="10"/>
  <c r="G35" i="10"/>
  <c r="G30" i="10"/>
  <c r="G27" i="10"/>
  <c r="G19" i="10"/>
  <c r="G14" i="10"/>
  <c r="G11" i="10"/>
  <c r="G8" i="10"/>
  <c r="G6" i="10"/>
  <c r="F29" i="4" l="1"/>
  <c r="E80" i="10" l="1"/>
  <c r="E79" i="10"/>
  <c r="E78" i="10"/>
  <c r="E76" i="10"/>
  <c r="E65" i="10"/>
  <c r="E45" i="10"/>
  <c r="E40" i="10"/>
  <c r="E39" i="10"/>
  <c r="E38" i="10"/>
  <c r="E35" i="10"/>
  <c r="E30" i="10"/>
  <c r="E27" i="10"/>
  <c r="E19" i="10"/>
  <c r="E14" i="10"/>
  <c r="E12" i="10"/>
  <c r="E11" i="10"/>
  <c r="E8" i="10"/>
  <c r="E6" i="10"/>
  <c r="D29" i="4" l="1"/>
  <c r="O6" i="7" l="1"/>
  <c r="O20" i="11" l="1"/>
  <c r="O19" i="11"/>
  <c r="O18" i="11"/>
  <c r="O17" i="11"/>
  <c r="O15" i="11"/>
  <c r="O14" i="11"/>
  <c r="O13" i="11"/>
  <c r="O12" i="11"/>
  <c r="O11" i="11"/>
  <c r="O10" i="11"/>
  <c r="O9" i="11"/>
  <c r="O8" i="11"/>
  <c r="O7" i="11"/>
  <c r="O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O5" i="11"/>
  <c r="O86" i="10"/>
  <c r="O85" i="10"/>
  <c r="O84" i="10"/>
  <c r="O83" i="10"/>
  <c r="O82" i="10"/>
  <c r="O81" i="10"/>
  <c r="O79" i="10"/>
  <c r="O77" i="10"/>
  <c r="O74" i="10"/>
  <c r="O73" i="10"/>
  <c r="O71" i="10"/>
  <c r="O70" i="10"/>
  <c r="O69" i="10"/>
  <c r="O68" i="10"/>
  <c r="O67" i="10"/>
  <c r="O64" i="10"/>
  <c r="O63" i="10"/>
  <c r="O62" i="10"/>
  <c r="O60" i="10"/>
  <c r="O59" i="10"/>
  <c r="O58" i="10"/>
  <c r="O57" i="10"/>
  <c r="O55" i="10"/>
  <c r="O54" i="10"/>
  <c r="O53" i="10"/>
  <c r="O52" i="10"/>
  <c r="O50" i="10"/>
  <c r="O49" i="10"/>
  <c r="O48" i="10"/>
  <c r="O47" i="10"/>
  <c r="O44" i="10"/>
  <c r="O36" i="10"/>
  <c r="O34" i="10"/>
  <c r="O33" i="10"/>
  <c r="O32" i="10"/>
  <c r="O31" i="10"/>
  <c r="O28" i="10"/>
  <c r="O26" i="10"/>
  <c r="O25" i="10"/>
  <c r="O24" i="10"/>
  <c r="O23" i="10"/>
  <c r="O20" i="10"/>
  <c r="O18" i="10"/>
  <c r="O17" i="10"/>
  <c r="O16" i="10"/>
  <c r="O15" i="10"/>
  <c r="A14" i="10"/>
  <c r="A15" i="10" s="1"/>
  <c r="A16" i="10" s="1"/>
  <c r="A17" i="10" s="1"/>
  <c r="A18" i="10" s="1"/>
  <c r="A19" i="10" s="1"/>
  <c r="A20" i="10" s="1"/>
  <c r="A13" i="10"/>
  <c r="A21" i="10" s="1"/>
  <c r="A29" i="10" s="1"/>
  <c r="O12" i="10"/>
  <c r="O11" i="10"/>
  <c r="O10" i="10"/>
  <c r="O9" i="10"/>
  <c r="O8" i="10"/>
  <c r="O7" i="10"/>
  <c r="A6" i="10"/>
  <c r="A7" i="10" s="1"/>
  <c r="A8" i="10" s="1"/>
  <c r="A9" i="10" s="1"/>
  <c r="A10" i="10" s="1"/>
  <c r="A11" i="10" s="1"/>
  <c r="A12" i="10" s="1"/>
  <c r="O7" i="9"/>
  <c r="O6" i="9"/>
  <c r="A6" i="9"/>
  <c r="A7" i="9" s="1"/>
  <c r="O5" i="9"/>
  <c r="O17" i="8"/>
  <c r="O16" i="8"/>
  <c r="O15" i="8"/>
  <c r="O14" i="8"/>
  <c r="O13" i="8"/>
  <c r="A13" i="8"/>
  <c r="A14" i="8" s="1"/>
  <c r="A15" i="8" s="1"/>
  <c r="A16" i="8" s="1"/>
  <c r="A17" i="8" s="1"/>
  <c r="A12" i="8"/>
  <c r="O11" i="8"/>
  <c r="O10" i="8"/>
  <c r="O9" i="8"/>
  <c r="O8" i="8"/>
  <c r="O7" i="8"/>
  <c r="O6" i="8"/>
  <c r="A6" i="8"/>
  <c r="A7" i="8" s="1"/>
  <c r="A8" i="8" s="1"/>
  <c r="A9" i="8" s="1"/>
  <c r="A10" i="8" s="1"/>
  <c r="A11" i="8" s="1"/>
  <c r="O18" i="7"/>
  <c r="O17" i="7"/>
  <c r="O16" i="7"/>
  <c r="O15" i="7"/>
  <c r="A14" i="7"/>
  <c r="A15" i="7" s="1"/>
  <c r="A16" i="7" s="1"/>
  <c r="A17" i="7" s="1"/>
  <c r="A18" i="7" s="1"/>
  <c r="O12" i="7"/>
  <c r="O11" i="7"/>
  <c r="O9" i="7"/>
  <c r="O8" i="7"/>
  <c r="O7" i="7"/>
  <c r="A6" i="7"/>
  <c r="A7" i="7" s="1"/>
  <c r="A8" i="7" s="1"/>
  <c r="A9" i="7" s="1"/>
  <c r="A10" i="7" s="1"/>
  <c r="A11" i="7" s="1"/>
  <c r="A12" i="7" s="1"/>
  <c r="A13" i="7" s="1"/>
  <c r="O24" i="6"/>
  <c r="O23" i="6"/>
  <c r="O22" i="6"/>
  <c r="O21" i="6"/>
  <c r="O20" i="6"/>
  <c r="O18" i="6"/>
  <c r="O16" i="6"/>
  <c r="O14" i="6"/>
  <c r="O13" i="6"/>
  <c r="O12" i="6"/>
  <c r="A11" i="6"/>
  <c r="A15" i="6" s="1"/>
  <c r="O10" i="6"/>
  <c r="O9" i="6"/>
  <c r="O8" i="6"/>
  <c r="O7" i="6"/>
  <c r="O6" i="6"/>
  <c r="A6" i="6"/>
  <c r="A7" i="6" s="1"/>
  <c r="A8" i="6" s="1"/>
  <c r="A9" i="6" s="1"/>
  <c r="A10" i="6" s="1"/>
  <c r="O122" i="5"/>
  <c r="O121" i="5"/>
  <c r="O120" i="5"/>
  <c r="O119" i="5"/>
  <c r="O117" i="5"/>
  <c r="O116" i="5"/>
  <c r="O115" i="5"/>
  <c r="O114" i="5"/>
  <c r="O113" i="5"/>
  <c r="O112" i="5"/>
  <c r="O111" i="5"/>
  <c r="O110" i="5"/>
  <c r="O109" i="5"/>
  <c r="O108" i="5"/>
  <c r="O105" i="5"/>
  <c r="O104" i="5"/>
  <c r="O103" i="5"/>
  <c r="O102" i="5"/>
  <c r="O101" i="5"/>
  <c r="O100" i="5"/>
  <c r="O98" i="5"/>
  <c r="O97" i="5"/>
  <c r="O96" i="5"/>
  <c r="O95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A78" i="5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59" i="5"/>
  <c r="O58" i="5"/>
  <c r="O57" i="5"/>
  <c r="O56" i="5"/>
  <c r="O55" i="5"/>
  <c r="O54" i="5"/>
  <c r="O53" i="5"/>
  <c r="O52" i="5"/>
  <c r="O51" i="5"/>
  <c r="O50" i="5"/>
  <c r="O49" i="5"/>
  <c r="O46" i="5"/>
  <c r="O45" i="5"/>
  <c r="O44" i="5"/>
  <c r="O43" i="5"/>
  <c r="O42" i="5"/>
  <c r="O41" i="5"/>
  <c r="O40" i="5"/>
  <c r="O39" i="5"/>
  <c r="O38" i="5"/>
  <c r="O37" i="5"/>
  <c r="O36" i="5"/>
  <c r="O35" i="5"/>
  <c r="O33" i="5"/>
  <c r="O32" i="5"/>
  <c r="O31" i="5"/>
  <c r="O30" i="5"/>
  <c r="O29" i="5"/>
  <c r="O28" i="5"/>
  <c r="O27" i="5"/>
  <c r="O26" i="5"/>
  <c r="O25" i="5"/>
  <c r="O24" i="5"/>
  <c r="O22" i="5"/>
  <c r="O21" i="5"/>
  <c r="O20" i="5"/>
  <c r="O19" i="5"/>
  <c r="O18" i="5"/>
  <c r="O16" i="5"/>
  <c r="O15" i="5"/>
  <c r="O14" i="5"/>
  <c r="O13" i="5"/>
  <c r="O12" i="5"/>
  <c r="O11" i="5"/>
  <c r="O9" i="5"/>
  <c r="O8" i="5"/>
  <c r="A8" i="5"/>
  <c r="A9" i="5" s="1"/>
  <c r="A10" i="5" s="1"/>
  <c r="A17" i="5" s="1"/>
  <c r="O7" i="5"/>
  <c r="O6" i="5"/>
  <c r="A6" i="5"/>
  <c r="O5" i="5"/>
  <c r="O29" i="4"/>
  <c r="O28" i="4"/>
  <c r="O27" i="4"/>
  <c r="O26" i="4"/>
  <c r="O25" i="4"/>
  <c r="O24" i="4"/>
  <c r="O23" i="4"/>
  <c r="O22" i="4"/>
  <c r="O20" i="4"/>
  <c r="O19" i="4"/>
  <c r="O18" i="4"/>
  <c r="O17" i="4"/>
  <c r="O15" i="4"/>
  <c r="O14" i="4"/>
  <c r="O13" i="4"/>
  <c r="O11" i="4"/>
  <c r="O10" i="4"/>
  <c r="O9" i="4"/>
  <c r="O7" i="4"/>
  <c r="O6" i="4"/>
  <c r="A6" i="4"/>
  <c r="A7" i="4" s="1"/>
  <c r="A8" i="4" s="1"/>
  <c r="O5" i="4"/>
  <c r="O5" i="3"/>
  <c r="A12" i="6" l="1"/>
  <c r="A13" i="6" s="1"/>
  <c r="A14" i="6" s="1"/>
  <c r="O6" i="10"/>
  <c r="O14" i="10"/>
  <c r="O19" i="10"/>
  <c r="O22" i="10"/>
  <c r="O27" i="10"/>
  <c r="O30" i="10"/>
  <c r="O35" i="10"/>
  <c r="O38" i="10"/>
  <c r="O39" i="10"/>
  <c r="O40" i="10"/>
  <c r="O65" i="10"/>
  <c r="O76" i="10"/>
  <c r="O13" i="7"/>
  <c r="A12" i="4"/>
  <c r="A9" i="4"/>
  <c r="A10" i="4" s="1"/>
  <c r="A11" i="4" s="1"/>
  <c r="A23" i="5"/>
  <c r="A18" i="5"/>
  <c r="A19" i="5" s="1"/>
  <c r="A20" i="5" s="1"/>
  <c r="A21" i="5" s="1"/>
  <c r="A22" i="5" s="1"/>
  <c r="A17" i="6"/>
  <c r="A16" i="6"/>
  <c r="O45" i="10"/>
  <c r="A11" i="5"/>
  <c r="A12" i="5" s="1"/>
  <c r="A13" i="5" s="1"/>
  <c r="A14" i="5" s="1"/>
  <c r="A15" i="5" s="1"/>
  <c r="A16" i="5" s="1"/>
  <c r="O47" i="5"/>
  <c r="O60" i="5"/>
  <c r="O93" i="5"/>
  <c r="O106" i="5"/>
  <c r="A37" i="10"/>
  <c r="A30" i="10"/>
  <c r="A31" i="10" s="1"/>
  <c r="A32" i="10" s="1"/>
  <c r="A33" i="10" s="1"/>
  <c r="A34" i="10" s="1"/>
  <c r="A35" i="10" s="1"/>
  <c r="A36" i="10" s="1"/>
  <c r="A22" i="10"/>
  <c r="A23" i="10" s="1"/>
  <c r="A24" i="10" s="1"/>
  <c r="A25" i="10" s="1"/>
  <c r="A26" i="10" s="1"/>
  <c r="A27" i="10" s="1"/>
  <c r="A28" i="10" s="1"/>
  <c r="O10" i="7"/>
  <c r="O43" i="10"/>
  <c r="O78" i="10"/>
  <c r="O80" i="10"/>
  <c r="O42" i="10"/>
  <c r="A41" i="10" l="1"/>
  <c r="A38" i="10"/>
  <c r="A39" i="10" s="1"/>
  <c r="A40" i="10" s="1"/>
  <c r="A19" i="6"/>
  <c r="A20" i="6" s="1"/>
  <c r="A21" i="6" s="1"/>
  <c r="A22" i="6" s="1"/>
  <c r="A23" i="6" s="1"/>
  <c r="A24" i="6" s="1"/>
  <c r="A18" i="6"/>
  <c r="A34" i="5"/>
  <c r="A24" i="5"/>
  <c r="A25" i="5" s="1"/>
  <c r="A26" i="5" s="1"/>
  <c r="A27" i="5" s="1"/>
  <c r="A28" i="5" s="1"/>
  <c r="A29" i="5" s="1"/>
  <c r="A30" i="5" s="1"/>
  <c r="A31" i="5" s="1"/>
  <c r="A32" i="5" s="1"/>
  <c r="A16" i="4"/>
  <c r="A13" i="4"/>
  <c r="A14" i="4" s="1"/>
  <c r="A15" i="4" s="1"/>
  <c r="A21" i="4" l="1"/>
  <c r="A22" i="4" s="1"/>
  <c r="A23" i="4" s="1"/>
  <c r="A24" i="4" s="1"/>
  <c r="A25" i="4" s="1"/>
  <c r="A26" i="4" s="1"/>
  <c r="A27" i="4" s="1"/>
  <c r="A28" i="4" s="1"/>
  <c r="A29" i="4" s="1"/>
  <c r="A17" i="4"/>
  <c r="A18" i="4" s="1"/>
  <c r="A19" i="4" s="1"/>
  <c r="A20" i="4" s="1"/>
  <c r="A48" i="5"/>
  <c r="A35" i="5"/>
  <c r="A36" i="5" s="1"/>
  <c r="A37" i="5" s="1"/>
  <c r="A38" i="5" s="1"/>
  <c r="A39" i="5" s="1"/>
  <c r="A40" i="5" s="1"/>
  <c r="A41" i="5" s="1"/>
  <c r="A42" i="5" s="1"/>
  <c r="A43" i="5" s="1"/>
  <c r="A46" i="10"/>
  <c r="A42" i="10"/>
  <c r="A43" i="10" s="1"/>
  <c r="A44" i="10" s="1"/>
  <c r="A45" i="10" s="1"/>
  <c r="A51" i="10" l="1"/>
  <c r="A47" i="10"/>
  <c r="A48" i="10" s="1"/>
  <c r="A49" i="10" s="1"/>
  <c r="A50" i="10" s="1"/>
  <c r="A49" i="5"/>
  <c r="A50" i="5" s="1"/>
  <c r="A51" i="5" s="1"/>
  <c r="A52" i="5" s="1"/>
  <c r="A53" i="5" s="1"/>
  <c r="A54" i="5" s="1"/>
  <c r="A55" i="5" s="1"/>
  <c r="A56" i="5" s="1"/>
  <c r="A57" i="5" s="1"/>
  <c r="A61" i="5"/>
  <c r="A56" i="10" l="1"/>
  <c r="A52" i="10"/>
  <c r="A53" i="10" s="1"/>
  <c r="A54" i="10" s="1"/>
  <c r="A55" i="10" s="1"/>
  <c r="A62" i="5"/>
  <c r="A63" i="5" s="1"/>
  <c r="A64" i="5" s="1"/>
  <c r="A65" i="5" s="1"/>
  <c r="A66" i="5" s="1"/>
  <c r="A67" i="5" s="1"/>
  <c r="A68" i="5" s="1"/>
  <c r="A69" i="5" s="1"/>
  <c r="A70" i="5" s="1"/>
  <c r="A94" i="5"/>
  <c r="A99" i="5" l="1"/>
  <c r="A95" i="5"/>
  <c r="A96" i="5" s="1"/>
  <c r="A97" i="5" s="1"/>
  <c r="A98" i="5" s="1"/>
  <c r="A61" i="10"/>
  <c r="A57" i="10"/>
  <c r="A58" i="10" s="1"/>
  <c r="A59" i="10" s="1"/>
  <c r="A60" i="10" s="1"/>
  <c r="A66" i="10" l="1"/>
  <c r="A62" i="10"/>
  <c r="A63" i="10" s="1"/>
  <c r="A64" i="10" s="1"/>
  <c r="A65" i="10" s="1"/>
  <c r="A107" i="5"/>
  <c r="A100" i="5"/>
  <c r="A101" i="5" s="1"/>
  <c r="A102" i="5" s="1"/>
  <c r="A103" i="5" s="1"/>
  <c r="A104" i="5" s="1"/>
  <c r="A105" i="5" s="1"/>
  <c r="A106" i="5" s="1"/>
  <c r="A108" i="5" l="1"/>
  <c r="A109" i="5" s="1"/>
  <c r="A110" i="5" s="1"/>
  <c r="A111" i="5" s="1"/>
  <c r="A112" i="5" s="1"/>
  <c r="A113" i="5" s="1"/>
  <c r="A114" i="5" s="1"/>
  <c r="A115" i="5" s="1"/>
  <c r="A116" i="5" s="1"/>
  <c r="A118" i="5"/>
  <c r="A119" i="5" s="1"/>
  <c r="A120" i="5" s="1"/>
  <c r="A121" i="5" s="1"/>
  <c r="A122" i="5" s="1"/>
  <c r="A72" i="10"/>
  <c r="A67" i="10"/>
  <c r="A68" i="10" s="1"/>
  <c r="A69" i="10" s="1"/>
  <c r="A70" i="10" s="1"/>
  <c r="A71" i="10" s="1"/>
  <c r="A75" i="10" l="1"/>
  <c r="A76" i="10" s="1"/>
  <c r="A77" i="10" s="1"/>
  <c r="A78" i="10" s="1"/>
  <c r="A79" i="10" s="1"/>
  <c r="A80" i="10" s="1"/>
  <c r="A81" i="10" s="1"/>
  <c r="A82" i="10" s="1"/>
  <c r="A83" i="10" s="1"/>
  <c r="A84" i="10" s="1"/>
  <c r="A73" i="10"/>
  <c r="A74" i="10" s="1"/>
</calcChain>
</file>

<file path=xl/sharedStrings.xml><?xml version="1.0" encoding="utf-8"?>
<sst xmlns="http://schemas.openxmlformats.org/spreadsheetml/2006/main" count="457" uniqueCount="274">
  <si>
    <t>SECRETARÍA DEL AYUNTAMIENTO</t>
  </si>
  <si>
    <t>No.</t>
  </si>
  <si>
    <t>Nombre de Variable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</si>
  <si>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</si>
  <si>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</si>
  <si>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</si>
  <si>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</si>
  <si>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</si>
  <si>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</si>
  <si>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</si>
  <si>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</si>
  <si>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</si>
  <si>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</si>
  <si>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</si>
  <si>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</si>
  <si>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</si>
  <si>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Permisos  expedidos para utilizar las áreas públicas</t>
  </si>
  <si>
    <t>Permisos autorizados  (art. 23 del Reglamento para el Uso de la Vía Pública en el Ejercicio de la Actividad Comercial en Monterrey,N.L.)</t>
  </si>
  <si>
    <t>*(1) Permisos eventuales o de temporada autorizados (art. 33 del Reglamento para el Uso de la Vía Pública en el Ejercicio de la Actividad Comercial en Monterrey,N.L.)</t>
  </si>
  <si>
    <t>*(3) Reubicación de comerciantes de vía pública</t>
  </si>
  <si>
    <t>Operativos</t>
  </si>
  <si>
    <t>*(2) Operativos de comercio en vía pública</t>
  </si>
  <si>
    <t>*(2) Operativos en mercados rodantes</t>
  </si>
  <si>
    <t>Total de operativos</t>
  </si>
  <si>
    <t>Atención ciudadana</t>
  </si>
  <si>
    <t>Atención ciudadana en las oficinas de la Dirección de Comercio</t>
  </si>
  <si>
    <t xml:space="preserve">Quejas recibidas </t>
  </si>
  <si>
    <t xml:space="preserve">Quejas resueltas </t>
  </si>
  <si>
    <t>Retención, bajas, multas y/o amonestaciones</t>
  </si>
  <si>
    <t xml:space="preserve">Retenciones - Actas de levantamiento de enseres </t>
  </si>
  <si>
    <t>Bajas de retenciones por perecederos</t>
  </si>
  <si>
    <t>Amonestaciones</t>
  </si>
  <si>
    <t>Multas aplicadas</t>
  </si>
  <si>
    <t>Ingresos</t>
  </si>
  <si>
    <t>Ingreso recaudado por multas (cta. 4181)</t>
  </si>
  <si>
    <t>Ingresos por ocupación vía pública  (cta. 2810)</t>
  </si>
  <si>
    <t>Ingresos por ocupación vía pública provisional (cta. 2811)</t>
  </si>
  <si>
    <t>Aportación por administración (cta. 2814)</t>
  </si>
  <si>
    <t>Mercados rodantes (cta 2815)</t>
  </si>
  <si>
    <t>Ingresos por mercados municipales</t>
  </si>
  <si>
    <t>Ingresos por baños públicos</t>
  </si>
  <si>
    <t>Ingresos totales</t>
  </si>
  <si>
    <t>NOTA:</t>
  </si>
  <si>
    <t>*(1) Los permisos eventuales o de temporada se registran en las cuentas 2811, dichos permisos no incrementan el Padrón de Comerciantes.</t>
  </si>
  <si>
    <t>*(2) Operativo significa acciones especiales de inspección y aplicación del reglamento para efectos de reubicación y/o retención de mercancías,  implantadas para verificar aspectos específicos.</t>
  </si>
  <si>
    <t>*(3) Los oferentes de puestos fijos y semifijos que cuentan con un numero de folio otorgado por la Dirección de Comercio, tienen asignada una dirección de trabajo autorizada, se consideran reubicaciones, cuando en beneficio de los comerciantes o de la ciudadanía, se les asigna una ubicación de trabajo diferente, aún sin cambiar al oferente del domicilio señalado en su folio.</t>
  </si>
  <si>
    <t>Nota: La Cuenta 2814 (Ene, Feb-2012) fue reportada por la Direccion de Ingresos en virtud de haber aportacion en dicho rubro.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</si>
  <si>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</si>
  <si>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</si>
  <si>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</si>
  <si>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</si>
  <si>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</si>
  <si>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Área de inspección y vigilancia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</si>
  <si>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</si>
  <si>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</si>
  <si>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</si>
  <si>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</si>
  <si>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</si>
  <si>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</si>
  <si>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</si>
  <si>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</si>
  <si>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</si>
  <si>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</si>
  <si>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</si>
  <si>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</si>
  <si>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Coordinación operativa en accidentes viales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</si>
  <si>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</si>
  <si>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</si>
  <si>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</si>
  <si>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</si>
  <si>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</si>
  <si>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</si>
  <si>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</si>
  <si>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</si>
  <si>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</si>
  <si>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Total</t>
  </si>
  <si>
    <t>Coordinación operativa en incendios urbanos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</si>
  <si>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</si>
  <si>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</si>
  <si>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</si>
  <si>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</si>
  <si>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</si>
  <si>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</si>
  <si>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</si>
  <si>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</si>
  <si>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</si>
  <si>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</si>
  <si>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</si>
  <si>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</si>
  <si>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Coordinación operativa en fugas y derrames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</si>
  <si>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</si>
  <si>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</si>
  <si>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</si>
  <si>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</si>
  <si>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</si>
  <si>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</si>
  <si>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</si>
  <si>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</si>
  <si>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</si>
  <si>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</si>
  <si>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</si>
  <si>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</si>
  <si>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</si>
  <si>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</si>
  <si>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</si>
  <si>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</si>
  <si>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</si>
  <si>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</si>
  <si>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</si>
  <si>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</si>
  <si>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</si>
  <si>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</si>
  <si>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</si>
  <si>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</si>
  <si>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</si>
  <si>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</si>
  <si>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</si>
  <si>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</si>
  <si>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</si>
  <si>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</si>
  <si>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</si>
  <si>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</si>
  <si>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</si>
  <si>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</si>
  <si>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</si>
  <si>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</si>
  <si>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</si>
  <si>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</si>
  <si>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</si>
  <si>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</si>
  <si>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</si>
  <si>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</si>
  <si>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</si>
  <si>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</si>
  <si>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</si>
  <si>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</si>
  <si>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</si>
  <si>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</si>
  <si>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</si>
  <si>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</si>
  <si>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</si>
  <si>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</si>
  <si>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</si>
  <si>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</si>
  <si>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</si>
  <si>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</si>
  <si>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</si>
  <si>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</si>
  <si>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</si>
  <si>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</si>
  <si>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</si>
  <si>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</si>
  <si>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</si>
  <si>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</si>
  <si>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</si>
  <si>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</si>
  <si>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</si>
  <si>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Dictámenes de riesgos pagados</t>
  </si>
  <si>
    <t>Ingreso por dictámenes de factibilidad</t>
  </si>
  <si>
    <t>Constancias</t>
  </si>
  <si>
    <t>Constancias Expedidas</t>
  </si>
  <si>
    <t>Constancias Certificadas</t>
  </si>
  <si>
    <t>Constancias No Certificadas</t>
  </si>
  <si>
    <t>Ingreso por Constancias Certificadas</t>
  </si>
  <si>
    <t>Cartas extendidas por los Jueces Auxiliares*</t>
  </si>
  <si>
    <t>Gestoría</t>
  </si>
  <si>
    <t>Gestoría Solicitada</t>
  </si>
  <si>
    <t>Gestoría Resuelta</t>
  </si>
  <si>
    <t>Gestoría en Trámite</t>
  </si>
  <si>
    <t>Call Center</t>
  </si>
  <si>
    <t>Llamadas a Jueces Auxiliares*</t>
  </si>
  <si>
    <t>Área Operativa</t>
  </si>
  <si>
    <t>Cantidad de Jueces Auxiliares Visitados*</t>
  </si>
  <si>
    <t>Proyectos Transversales y Voluntariado</t>
  </si>
  <si>
    <t>ONG´S Registradas</t>
  </si>
  <si>
    <t>Gestiones con Asociaciones Civiles</t>
  </si>
  <si>
    <t>Gestiones con Empresas</t>
  </si>
  <si>
    <t xml:space="preserve">Eventos Realizados en Sinergia con ONG´S </t>
  </si>
  <si>
    <t>Eventos Realizados en Sinergia con Empresas y/o Dependencias Gubernamentales</t>
  </si>
  <si>
    <t xml:space="preserve">*Jueces Auxiliares: cambio de concepto de Delegados Municipales a Jueces Auxiliares debido a la aprobación del Reglamento de Jueces Auxiliares del Municipio de Monterrey, aprobado en el Periódico Aficial del Estado de Nuevo León el 27 de febrero del 2016. </t>
  </si>
  <si>
    <t>Expedición de Pasaportes</t>
  </si>
  <si>
    <t>1 - año</t>
  </si>
  <si>
    <t>3 - años</t>
  </si>
  <si>
    <t xml:space="preserve">6 - años </t>
  </si>
  <si>
    <t xml:space="preserve">10 - años </t>
  </si>
  <si>
    <t>Total de tramites</t>
  </si>
  <si>
    <t>Ingreso por cuota municipal por expedición de pasaportes</t>
  </si>
  <si>
    <t>Ingreso por toma de fotografia</t>
  </si>
  <si>
    <t>Total de ingresos Municipales</t>
  </si>
  <si>
    <t>Reclutamiento</t>
  </si>
  <si>
    <t>Informacion para la inscripción de jovenes al SMN</t>
  </si>
  <si>
    <t>Jovenes que se registraron para su servicio SMN</t>
  </si>
  <si>
    <t>Resello de cartillas con resultados de ultimos sorteos</t>
  </si>
  <si>
    <t>Solicitudes de Servicios Municipales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</si>
  <si>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</si>
  <si>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</si>
  <si>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</si>
  <si>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</si>
  <si>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</si>
  <si>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</si>
  <si>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</si>
  <si>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</si>
  <si>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</si>
  <si>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</si>
  <si>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</si>
  <si>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</si>
  <si>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*CAM: Centro de Atención Municipal</t>
  </si>
  <si>
    <t>Anuencia Municipal para Permisos de Alcoholes</t>
  </si>
  <si>
    <t>Anuencia Municipal para Permisos Especiales No Lucrativos</t>
  </si>
  <si>
    <t>Anuencia Municipal para Permisos Especiales Lucrativos de Alcoholes aprobados por el Ayuntamiento</t>
  </si>
  <si>
    <t xml:space="preserve">             </t>
  </si>
  <si>
    <t>Asuntos Recibidos</t>
  </si>
  <si>
    <t>Amparo</t>
  </si>
  <si>
    <t>Fiscal</t>
  </si>
  <si>
    <t>Penal</t>
  </si>
  <si>
    <t>Civil</t>
  </si>
  <si>
    <t>Mercantil</t>
  </si>
  <si>
    <t>Concencioso Administrativo</t>
  </si>
  <si>
    <t>CEDH</t>
  </si>
  <si>
    <t>Asuntos Concluidos</t>
  </si>
  <si>
    <t>Asuntos a Favor del Municipio</t>
  </si>
  <si>
    <t>Asuntos en Contra del Municipio</t>
  </si>
  <si>
    <t>Revisiones</t>
  </si>
  <si>
    <t>Consultas</t>
  </si>
  <si>
    <t>Contratos</t>
  </si>
  <si>
    <t>Certificaciones</t>
  </si>
  <si>
    <t>Personas Detenidas</t>
  </si>
  <si>
    <t>Centro</t>
  </si>
  <si>
    <t>Norte</t>
  </si>
  <si>
    <t>Sur</t>
  </si>
  <si>
    <t>Personas Consignadas</t>
  </si>
  <si>
    <t>Personas Consignadas - Fuero Común</t>
  </si>
  <si>
    <t>Personas Consignadas - Fuero Federal</t>
  </si>
  <si>
    <t>Revisión y Juntas</t>
  </si>
  <si>
    <t>Procesos y bases de licitación pública (Comité Técnico de Adquisiciones)</t>
  </si>
  <si>
    <t>Juntas del Comité de Adquisiciones, Arren. y Prestación de servicios</t>
  </si>
  <si>
    <t>Procesos de Obras Púb. (Comité de Fallos)</t>
  </si>
  <si>
    <t>Revisión de bases de licitaciones emitidas por la Dir. de Adquisiciones</t>
  </si>
  <si>
    <t>Revisión de actas del Comité Técnico de Adquisiciones.</t>
  </si>
  <si>
    <t>Fortalecimiento del Sistema Juridico Municipal para La Prevención de Controversias</t>
  </si>
  <si>
    <t>No. de Reglamentos Revisados</t>
  </si>
  <si>
    <t>No. de Reglamentos Adecuados</t>
  </si>
  <si>
    <t>Recursos de Inconformidad</t>
  </si>
  <si>
    <t xml:space="preserve">Recursos de Inconformidad Recibidos </t>
  </si>
  <si>
    <t>Notoria Improcedencia</t>
  </si>
  <si>
    <t>Recursos de Inconformidad Concluidos</t>
  </si>
  <si>
    <t>Recursos de Inconformidad a Favor</t>
  </si>
  <si>
    <t>Recursos de Inconformidad en Contra</t>
  </si>
  <si>
    <t>Desistimientos</t>
  </si>
  <si>
    <t>Sobreseídos</t>
  </si>
  <si>
    <t>Audiencias</t>
  </si>
  <si>
    <t>Notificaciones para Admision</t>
  </si>
  <si>
    <t>Notificaciones para Traslado</t>
  </si>
  <si>
    <t>Audiencias Tribunal Contencioso</t>
  </si>
  <si>
    <t>Sesiones Ordinarias realizadas</t>
  </si>
  <si>
    <t>Sesiones Extraordinarias realizadas</t>
  </si>
  <si>
    <t>Sesiones Solemnes realizadas</t>
  </si>
  <si>
    <t>Acuerdos por Unanimidad</t>
  </si>
  <si>
    <t>Acuerdos por Mayoría</t>
  </si>
  <si>
    <t>Total de Acuerdos del Ayuntamiento</t>
  </si>
  <si>
    <t>Gaceta Municipal (Total de Publicaciones)</t>
  </si>
  <si>
    <t>Cantidad de publicaciones realizadas en el período</t>
  </si>
  <si>
    <t>Expedición y/o Reforma a los Reglamentos</t>
  </si>
  <si>
    <t>Asesoría a Comisiones</t>
  </si>
  <si>
    <t>Elaboración de Propuestas de Dictámenes y Puntos de Acuerdo</t>
  </si>
  <si>
    <t>Archivo Histórico</t>
  </si>
  <si>
    <t>Elaboración de Fichas del Archivo Histórico</t>
  </si>
  <si>
    <t>Personas Atendidas en el Archivo Histórico</t>
  </si>
  <si>
    <t>Publicaciones en el Portal del Archivo Histórico</t>
  </si>
  <si>
    <t>Solicitud y/o búsqueda de documentos, copias simples y/o certificadas</t>
  </si>
  <si>
    <t>ESTADÍSTICA 2021</t>
  </si>
  <si>
    <t>0</t>
  </si>
  <si>
    <t>Vehículos detenidos por transportar materiales peligrosos en tanques estacionarios</t>
  </si>
  <si>
    <t>35,399,90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</si>
</sst>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€&quot;_-;\-* #,##0.00\ &quot;€&quot;_-;_-* &quot;-&quot;??\ &quot;€&quot;_-;_-@_-"/>
    <numFmt numFmtId="165" formatCode="0.0"/>
    <numFmt numFmtId="166" formatCode="_(&quot;$&quot;* #,##0.00_);_(&quot;$&quot;* \(#,##0.00\);_(&quot;$&quot;* &quot;-&quot;??_);_(@_)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_-&quot;$&quot;* #,##0_-;\-&quot;$&quot;* #,##0_-;_-&quot;$&quot;* &quot;-&quot;_-;_-@"/>
    <numFmt numFmtId="171" formatCode="_-&quot;$&quot;* #,##0.00_-;\-&quot;$&quot;* #,##0.00_-;_-&quot;$&quot;* &quot;-&quot;??_-;_-@"/>
  </numFmts>
  <fonts count="13" x14ac:knownFonts="1">
    <font>
      <sz val="11"/>
      <color rgb="FF000000"/>
      <name val="Calibri"/>
    </font>
    <font>
      <sz val="20"/>
      <color rgb="FF000000"/>
      <name val="Cambria"/>
      <family val="1"/>
    </font>
    <font>
      <sz val="11"/>
      <name val="Calibri"/>
      <family val="2"/>
    </font>
    <font>
      <b/>
      <sz val="16"/>
      <name val="Cambria"/>
      <family val="1"/>
    </font>
    <font>
      <sz val="11"/>
      <color rgb="FFFFFFFF"/>
      <name val="Cambria"/>
      <family val="1"/>
    </font>
    <font>
      <sz val="12"/>
      <color rgb="FF000000"/>
      <name val="Cambria"/>
      <family val="1"/>
    </font>
    <font>
      <sz val="12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2"/>
      <name val="Cambria"/>
      <family val="1"/>
      <scheme val="major"/>
    </font>
    <font>
      <sz val="11"/>
      <color theme="0"/>
      <name val="Cambria"/>
      <family val="1"/>
    </font>
    <font>
      <sz val="1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10"/>
    <xf numFmtId="0" fontId="9" fillId="0" borderId="10"/>
    <xf numFmtId="0" fontId="8" fillId="0" borderId="10"/>
    <xf numFmtId="164" fontId="8" fillId="0" borderId="10" applyFont="0" applyFill="0" applyBorder="0" applyAlignment="0" applyProtection="0"/>
  </cellStyleXfs>
  <cellXfs count="63">
    <xf numFmtId="0" fontId="0" fillId="0" borderId="0" xfId="0" applyFont="1" applyAlignment="1"/>
    <xf numFmtId="49" fontId="4" fillId="3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4" borderId="4" xfId="0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6" fontId="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169" fontId="6" fillId="4" borderId="4" xfId="0" applyNumberFormat="1" applyFont="1" applyFill="1" applyBorder="1" applyAlignment="1">
      <alignment horizontal="center" vertical="center" wrapText="1"/>
    </xf>
    <xf numFmtId="167" fontId="6" fillId="4" borderId="4" xfId="0" applyNumberFormat="1" applyFont="1" applyFill="1" applyBorder="1" applyAlignment="1">
      <alignment horizontal="center" vertical="center" wrapText="1"/>
    </xf>
    <xf numFmtId="170" fontId="6" fillId="4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center" vertical="center" wrapText="1"/>
    </xf>
    <xf numFmtId="49" fontId="11" fillId="6" borderId="11" xfId="2" applyNumberFormat="1" applyFont="1" applyFill="1" applyBorder="1" applyAlignment="1" applyProtection="1">
      <alignment horizontal="center" vertical="center" wrapText="1"/>
    </xf>
    <xf numFmtId="3" fontId="10" fillId="7" borderId="11" xfId="1" applyNumberFormat="1" applyFont="1" applyFill="1" applyBorder="1" applyAlignment="1">
      <alignment horizontal="center" vertical="center" wrapText="1"/>
    </xf>
    <xf numFmtId="3" fontId="10" fillId="0" borderId="11" xfId="1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1" fontId="12" fillId="2" borderId="4" xfId="0" applyNumberFormat="1" applyFont="1" applyFill="1" applyBorder="1" applyAlignment="1">
      <alignment horizontal="center" vertical="center" wrapText="1"/>
    </xf>
    <xf numFmtId="167" fontId="10" fillId="5" borderId="11" xfId="4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166" fontId="10" fillId="0" borderId="11" xfId="4" applyNumberFormat="1" applyFont="1" applyFill="1" applyBorder="1" applyAlignment="1">
      <alignment horizontal="center" vertical="center" wrapText="1"/>
    </xf>
    <xf numFmtId="166" fontId="10" fillId="7" borderId="11" xfId="4" applyNumberFormat="1" applyFont="1" applyFill="1" applyBorder="1" applyAlignment="1">
      <alignment horizontal="center" vertical="center" wrapText="1"/>
    </xf>
    <xf numFmtId="166" fontId="12" fillId="2" borderId="4" xfId="0" applyNumberFormat="1" applyFont="1" applyFill="1" applyBorder="1" applyAlignment="1">
      <alignment horizontal="center" vertical="center" wrapText="1"/>
    </xf>
    <xf numFmtId="166" fontId="12" fillId="4" borderId="4" xfId="0" applyNumberFormat="1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</cellXfs>
  <cellStyles count="5">
    <cellStyle name="Moneda 2" xfId="4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620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>
      <selection activeCell="I26" sqref="I26"/>
    </sheetView>
  </sheetViews>
  <sheetFormatPr baseColWidth="10" defaultColWidth="14.42578125" defaultRowHeight="15" customHeight="1" x14ac:dyDescent="0.25"/>
  <cols>
    <col min="1" max="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baseColWidth="10" defaultColWidth="14.42578125" defaultRowHeight="15" customHeight="1" x14ac:dyDescent="0.25"/>
  <cols>
    <col min="1" max="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9598"/>
    <pageSetUpPr fitToPage="1"/>
  </sheetPr>
  <dimension ref="A1:O100"/>
  <sheetViews>
    <sheetView tabSelected="1" zoomScale="80" zoomScaleNormal="80" workbookViewId="0">
      <selection activeCell="N5" sqref="N5"/>
    </sheetView>
  </sheetViews>
  <sheetFormatPr baseColWidth="10" defaultColWidth="14.42578125" defaultRowHeight="15" customHeight="1" x14ac:dyDescent="0.25"/>
  <cols>
    <col min="1" max="1" width="8.42578125" customWidth="1"/>
    <col min="2" max="2" width="34.28515625" customWidth="1"/>
    <col min="3" max="3" width="12.42578125" customWidth="1"/>
    <col min="4" max="4" width="14.42578125" customWidth="1"/>
    <col min="5" max="5" width="12.85546875" customWidth="1"/>
    <col min="6" max="6" width="11.5703125" customWidth="1"/>
    <col min="7" max="7" width="12" customWidth="1"/>
    <col min="8" max="8" width="11.5703125" customWidth="1"/>
    <col min="9" max="9" width="11" customWidth="1"/>
    <col min="10" max="10" width="13.42578125" customWidth="1"/>
    <col min="11" max="11" width="17.42578125" customWidth="1"/>
    <col min="12" max="12" width="14.42578125" customWidth="1"/>
    <col min="13" max="13" width="17.28515625" customWidth="1"/>
    <col min="14" max="14" width="16.42578125" customWidth="1"/>
    <col min="15" max="15" width="12.8554687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43.5" customHeight="1" x14ac:dyDescent="0.25">
      <c r="A5" s="2">
        <v>1</v>
      </c>
      <c r="B5" s="3" t="s">
        <v>16</v>
      </c>
      <c r="C5" s="4">
        <v>3</v>
      </c>
      <c r="D5" s="4">
        <v>1</v>
      </c>
      <c r="E5" s="35">
        <v>2</v>
      </c>
      <c r="F5" s="4">
        <v>0</v>
      </c>
      <c r="G5" s="4">
        <v>2</v>
      </c>
      <c r="H5" s="4">
        <v>1</v>
      </c>
      <c r="I5" s="4">
        <v>0</v>
      </c>
      <c r="J5" s="4">
        <v>2</v>
      </c>
      <c r="K5" s="4">
        <v>4</v>
      </c>
      <c r="L5" s="4">
        <v>26</v>
      </c>
      <c r="M5" s="4">
        <v>10</v>
      </c>
      <c r="N5" s="40">
        <v>8</v>
      </c>
      <c r="O5" s="5">
        <f>SUM(C5:N5)</f>
        <v>59</v>
      </c>
    </row>
    <row r="6" spans="1:15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0"/>
  <sheetViews>
    <sheetView topLeftCell="C1" zoomScale="70" zoomScaleNormal="70" workbookViewId="0">
      <selection activeCell="N29" sqref="N29"/>
    </sheetView>
  </sheetViews>
  <sheetFormatPr baseColWidth="10" defaultColWidth="14.42578125" defaultRowHeight="15" customHeight="1" x14ac:dyDescent="0.25"/>
  <cols>
    <col min="1" max="1" width="8.42578125" customWidth="1"/>
    <col min="2" max="2" width="49.28515625" customWidth="1"/>
    <col min="3" max="10" width="16.5703125" customWidth="1"/>
    <col min="11" max="11" width="18" customWidth="1"/>
    <col min="12" max="12" width="16.5703125" customWidth="1"/>
    <col min="13" max="13" width="18" customWidth="1"/>
    <col min="14" max="14" width="17.140625" customWidth="1"/>
    <col min="15" max="15" width="17.710937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54.75" customHeight="1" x14ac:dyDescent="0.25">
      <c r="A5" s="7">
        <v>1</v>
      </c>
      <c r="B5" s="8" t="s">
        <v>17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38">
        <v>0</v>
      </c>
      <c r="M5" s="9">
        <v>0</v>
      </c>
      <c r="N5" s="9">
        <v>0</v>
      </c>
      <c r="O5" s="5">
        <f t="shared" ref="O5:O7" si="0">SUM(C5:N5)</f>
        <v>0</v>
      </c>
    </row>
    <row r="6" spans="1:15" ht="114" customHeight="1" x14ac:dyDescent="0.25">
      <c r="A6" s="7">
        <f t="shared" ref="A6:A8" si="1">+A5+1</f>
        <v>2</v>
      </c>
      <c r="B6" s="8" t="s">
        <v>18</v>
      </c>
      <c r="C6" s="9">
        <v>0</v>
      </c>
      <c r="D6" s="9">
        <v>4</v>
      </c>
      <c r="E6" s="9">
        <v>53</v>
      </c>
      <c r="F6" s="9">
        <v>0</v>
      </c>
      <c r="G6" s="9">
        <v>30</v>
      </c>
      <c r="H6" s="9">
        <v>31</v>
      </c>
      <c r="I6" s="9">
        <v>0</v>
      </c>
      <c r="J6" s="9">
        <v>0</v>
      </c>
      <c r="K6" s="9">
        <v>11</v>
      </c>
      <c r="L6" s="38">
        <v>518</v>
      </c>
      <c r="M6" s="9">
        <v>377</v>
      </c>
      <c r="N6" s="9">
        <v>91</v>
      </c>
      <c r="O6" s="5">
        <f t="shared" si="0"/>
        <v>1115</v>
      </c>
    </row>
    <row r="7" spans="1:15" ht="30" customHeight="1" x14ac:dyDescent="0.25">
      <c r="A7" s="7">
        <f t="shared" si="1"/>
        <v>3</v>
      </c>
      <c r="B7" s="8" t="s">
        <v>19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38">
        <v>0</v>
      </c>
      <c r="M7" s="9">
        <v>0</v>
      </c>
      <c r="N7" s="9">
        <v>0</v>
      </c>
      <c r="O7" s="5">
        <f t="shared" si="0"/>
        <v>0</v>
      </c>
    </row>
    <row r="8" spans="1:15" ht="30" customHeight="1" x14ac:dyDescent="0.25">
      <c r="A8" s="1">
        <f t="shared" si="1"/>
        <v>4</v>
      </c>
      <c r="B8" s="1" t="s">
        <v>20</v>
      </c>
      <c r="C8" s="1"/>
      <c r="D8" s="1"/>
      <c r="E8" s="1"/>
      <c r="F8" s="1"/>
      <c r="G8" s="1"/>
      <c r="H8" s="1"/>
      <c r="I8" s="1"/>
      <c r="J8" s="1"/>
      <c r="K8" s="1"/>
      <c r="L8" s="36"/>
      <c r="M8" s="1"/>
      <c r="N8" s="1"/>
      <c r="O8" s="1"/>
    </row>
    <row r="9" spans="1:15" ht="30" customHeight="1" x14ac:dyDescent="0.25">
      <c r="A9" s="10">
        <f t="shared" ref="A9:A11" si="2">+A8+0.1</f>
        <v>4.0999999999999996</v>
      </c>
      <c r="B9" s="3" t="s">
        <v>21</v>
      </c>
      <c r="C9" s="4">
        <v>155</v>
      </c>
      <c r="D9" s="4">
        <v>140</v>
      </c>
      <c r="E9" s="4">
        <v>155</v>
      </c>
      <c r="F9" s="4">
        <v>150</v>
      </c>
      <c r="G9" s="4">
        <v>155</v>
      </c>
      <c r="H9" s="4">
        <v>150</v>
      </c>
      <c r="I9" s="4">
        <v>155</v>
      </c>
      <c r="J9" s="4">
        <v>155</v>
      </c>
      <c r="K9" s="4">
        <v>150</v>
      </c>
      <c r="L9" s="35">
        <v>155</v>
      </c>
      <c r="M9" s="4">
        <v>150</v>
      </c>
      <c r="N9" s="4">
        <v>155</v>
      </c>
      <c r="O9" s="5">
        <f t="shared" ref="O9:O11" si="3">SUM(C9:N9)</f>
        <v>1825</v>
      </c>
    </row>
    <row r="10" spans="1:15" ht="30" customHeight="1" x14ac:dyDescent="0.25">
      <c r="A10" s="10">
        <f t="shared" si="2"/>
        <v>4.1999999999999993</v>
      </c>
      <c r="B10" s="3" t="s">
        <v>22</v>
      </c>
      <c r="C10" s="4">
        <v>31</v>
      </c>
      <c r="D10" s="4">
        <v>28</v>
      </c>
      <c r="E10" s="4">
        <v>31</v>
      </c>
      <c r="F10" s="4">
        <v>30</v>
      </c>
      <c r="G10" s="4">
        <v>31</v>
      </c>
      <c r="H10" s="4">
        <v>30</v>
      </c>
      <c r="I10" s="4">
        <v>31</v>
      </c>
      <c r="J10" s="4">
        <v>31</v>
      </c>
      <c r="K10" s="4">
        <v>30</v>
      </c>
      <c r="L10" s="35">
        <v>31</v>
      </c>
      <c r="M10" s="4">
        <v>30</v>
      </c>
      <c r="N10" s="4">
        <v>31</v>
      </c>
      <c r="O10" s="5">
        <f t="shared" si="3"/>
        <v>365</v>
      </c>
    </row>
    <row r="11" spans="1:15" ht="30" customHeight="1" x14ac:dyDescent="0.25">
      <c r="A11" s="10">
        <f t="shared" si="2"/>
        <v>4.2999999999999989</v>
      </c>
      <c r="B11" s="11" t="s">
        <v>23</v>
      </c>
      <c r="C11" s="5">
        <v>186</v>
      </c>
      <c r="D11" s="4">
        <v>168</v>
      </c>
      <c r="E11" s="5">
        <v>186</v>
      </c>
      <c r="F11" s="5">
        <v>180</v>
      </c>
      <c r="G11" s="5">
        <v>186</v>
      </c>
      <c r="H11" s="5">
        <v>180</v>
      </c>
      <c r="I11" s="5">
        <v>186</v>
      </c>
      <c r="J11" s="5">
        <v>186</v>
      </c>
      <c r="K11" s="5">
        <v>180</v>
      </c>
      <c r="L11" s="37">
        <v>186</v>
      </c>
      <c r="M11" s="5">
        <v>180</v>
      </c>
      <c r="N11" s="5">
        <v>186</v>
      </c>
      <c r="O11" s="5">
        <f t="shared" si="3"/>
        <v>2190</v>
      </c>
    </row>
    <row r="12" spans="1:15" ht="30" customHeight="1" x14ac:dyDescent="0.25">
      <c r="A12" s="1">
        <f>+A8+1</f>
        <v>5</v>
      </c>
      <c r="B12" s="1" t="s">
        <v>24</v>
      </c>
      <c r="C12" s="1"/>
      <c r="D12" s="1"/>
      <c r="E12" s="1"/>
      <c r="F12" s="1"/>
      <c r="G12" s="1"/>
      <c r="H12" s="1"/>
      <c r="I12" s="1"/>
      <c r="J12" s="1"/>
      <c r="K12" s="1"/>
      <c r="L12" s="36"/>
      <c r="M12" s="1"/>
      <c r="N12" s="1"/>
      <c r="O12" s="1"/>
    </row>
    <row r="13" spans="1:15" ht="30" customHeight="1" x14ac:dyDescent="0.25">
      <c r="A13" s="7">
        <f t="shared" ref="A13:A15" si="4">+A12+0.1</f>
        <v>5.0999999999999996</v>
      </c>
      <c r="B13" s="8" t="s">
        <v>25</v>
      </c>
      <c r="C13" s="9">
        <v>930</v>
      </c>
      <c r="D13" s="9">
        <v>843</v>
      </c>
      <c r="E13" s="9">
        <v>891</v>
      </c>
      <c r="F13" s="9">
        <v>652</v>
      </c>
      <c r="G13" s="9">
        <v>747</v>
      </c>
      <c r="H13" s="9">
        <v>818</v>
      </c>
      <c r="I13" s="9">
        <v>857</v>
      </c>
      <c r="J13" s="9">
        <v>931</v>
      </c>
      <c r="K13" s="9">
        <v>883</v>
      </c>
      <c r="L13" s="38">
        <v>945</v>
      </c>
      <c r="M13" s="9">
        <v>1055</v>
      </c>
      <c r="N13" s="9">
        <v>1011</v>
      </c>
      <c r="O13" s="5">
        <f t="shared" ref="O13:O15" si="5">SUM(C13:N13)</f>
        <v>10563</v>
      </c>
    </row>
    <row r="14" spans="1:15" ht="30" customHeight="1" x14ac:dyDescent="0.25">
      <c r="A14" s="7">
        <f t="shared" si="4"/>
        <v>5.1999999999999993</v>
      </c>
      <c r="B14" s="8" t="s">
        <v>26</v>
      </c>
      <c r="C14" s="9">
        <v>21</v>
      </c>
      <c r="D14" s="9">
        <v>9</v>
      </c>
      <c r="E14" s="9">
        <v>8</v>
      </c>
      <c r="F14" s="9">
        <v>11</v>
      </c>
      <c r="G14" s="9">
        <v>13</v>
      </c>
      <c r="H14" s="9">
        <v>14</v>
      </c>
      <c r="I14" s="9">
        <v>11</v>
      </c>
      <c r="J14" s="9">
        <v>16</v>
      </c>
      <c r="K14" s="9">
        <v>15</v>
      </c>
      <c r="L14" s="38">
        <v>65</v>
      </c>
      <c r="M14" s="9">
        <v>118</v>
      </c>
      <c r="N14" s="9">
        <v>119</v>
      </c>
      <c r="O14" s="5">
        <f t="shared" si="5"/>
        <v>420</v>
      </c>
    </row>
    <row r="15" spans="1:15" ht="30" customHeight="1" x14ac:dyDescent="0.25">
      <c r="A15" s="7">
        <f t="shared" si="4"/>
        <v>5.2999999999999989</v>
      </c>
      <c r="B15" s="8" t="s">
        <v>27</v>
      </c>
      <c r="C15" s="9">
        <v>21</v>
      </c>
      <c r="D15" s="9">
        <v>9</v>
      </c>
      <c r="E15" s="9">
        <v>8</v>
      </c>
      <c r="F15" s="9">
        <v>11</v>
      </c>
      <c r="G15" s="9">
        <v>13</v>
      </c>
      <c r="H15" s="9">
        <v>14</v>
      </c>
      <c r="I15" s="9">
        <v>11</v>
      </c>
      <c r="J15" s="9">
        <v>16</v>
      </c>
      <c r="K15" s="9">
        <v>15</v>
      </c>
      <c r="L15" s="38">
        <v>65</v>
      </c>
      <c r="M15" s="9">
        <v>118</v>
      </c>
      <c r="N15" s="9">
        <v>19</v>
      </c>
      <c r="O15" s="5">
        <f t="shared" si="5"/>
        <v>320</v>
      </c>
    </row>
    <row r="16" spans="1:15" ht="30" customHeight="1" x14ac:dyDescent="0.25">
      <c r="A16" s="1">
        <f>+A12+1</f>
        <v>6</v>
      </c>
      <c r="B16" s="1" t="s">
        <v>28</v>
      </c>
      <c r="C16" s="1"/>
      <c r="D16" s="1"/>
      <c r="E16" s="1"/>
      <c r="F16" s="1"/>
      <c r="G16" s="1"/>
      <c r="H16" s="1"/>
      <c r="I16" s="1"/>
      <c r="J16" s="1"/>
      <c r="K16" s="1"/>
      <c r="L16" s="36"/>
      <c r="M16" s="1"/>
      <c r="N16" s="1"/>
      <c r="O16" s="1"/>
    </row>
    <row r="17" spans="1:15" ht="30" customHeight="1" x14ac:dyDescent="0.25">
      <c r="A17" s="7">
        <f t="shared" ref="A17:A20" si="6">+A16+0.1</f>
        <v>6.1</v>
      </c>
      <c r="B17" s="8" t="s">
        <v>29</v>
      </c>
      <c r="C17" s="9">
        <v>894</v>
      </c>
      <c r="D17" s="9">
        <v>672</v>
      </c>
      <c r="E17" s="9">
        <v>697</v>
      </c>
      <c r="F17" s="9">
        <v>509</v>
      </c>
      <c r="G17" s="9">
        <v>421</v>
      </c>
      <c r="H17" s="9">
        <v>550</v>
      </c>
      <c r="I17" s="9">
        <v>610</v>
      </c>
      <c r="J17" s="9">
        <v>598</v>
      </c>
      <c r="K17" s="9">
        <v>359</v>
      </c>
      <c r="L17" s="38">
        <v>237</v>
      </c>
      <c r="M17" s="9">
        <v>586</v>
      </c>
      <c r="N17" s="9">
        <v>355</v>
      </c>
      <c r="O17" s="5">
        <f t="shared" ref="O17:O20" si="7">SUM(C17:N17)</f>
        <v>6488</v>
      </c>
    </row>
    <row r="18" spans="1:15" ht="30" customHeight="1" x14ac:dyDescent="0.25">
      <c r="A18" s="7">
        <f t="shared" si="6"/>
        <v>6.1999999999999993</v>
      </c>
      <c r="B18" s="8" t="s">
        <v>30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38">
        <v>6</v>
      </c>
      <c r="M18" s="9">
        <v>23</v>
      </c>
      <c r="N18" s="9">
        <v>0</v>
      </c>
      <c r="O18" s="5">
        <f t="shared" si="7"/>
        <v>29</v>
      </c>
    </row>
    <row r="19" spans="1:15" ht="30" customHeight="1" x14ac:dyDescent="0.25">
      <c r="A19" s="7">
        <f t="shared" si="6"/>
        <v>6.2999999999999989</v>
      </c>
      <c r="B19" s="8" t="s">
        <v>31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38">
        <v>0</v>
      </c>
      <c r="M19" s="9">
        <v>0</v>
      </c>
      <c r="N19" s="9">
        <v>0</v>
      </c>
      <c r="O19" s="5">
        <f t="shared" si="7"/>
        <v>0</v>
      </c>
    </row>
    <row r="20" spans="1:15" ht="30" customHeight="1" x14ac:dyDescent="0.25">
      <c r="A20" s="7">
        <f t="shared" si="6"/>
        <v>6.3999999999999986</v>
      </c>
      <c r="B20" s="8" t="s">
        <v>32</v>
      </c>
      <c r="C20" s="9">
        <v>20</v>
      </c>
      <c r="D20" s="9">
        <v>9</v>
      </c>
      <c r="E20" s="9">
        <v>28</v>
      </c>
      <c r="F20" s="9">
        <v>67</v>
      </c>
      <c r="G20" s="9">
        <v>48</v>
      </c>
      <c r="H20" s="9">
        <v>54</v>
      </c>
      <c r="I20" s="9">
        <v>25</v>
      </c>
      <c r="J20" s="9">
        <v>31</v>
      </c>
      <c r="K20" s="9">
        <v>21</v>
      </c>
      <c r="L20" s="38">
        <v>154</v>
      </c>
      <c r="M20" s="9">
        <v>234</v>
      </c>
      <c r="N20" s="12">
        <v>492</v>
      </c>
      <c r="O20" s="5">
        <f t="shared" si="7"/>
        <v>1183</v>
      </c>
    </row>
    <row r="21" spans="1:15" ht="30" customHeight="1" x14ac:dyDescent="0.25">
      <c r="A21" s="1">
        <f>+A16+1</f>
        <v>7</v>
      </c>
      <c r="B21" s="1" t="s">
        <v>33</v>
      </c>
      <c r="C21" s="1"/>
      <c r="D21" s="1"/>
      <c r="E21" s="1"/>
      <c r="F21" s="1"/>
      <c r="G21" s="1"/>
      <c r="H21" s="1"/>
      <c r="I21" s="1"/>
      <c r="J21" s="1"/>
      <c r="K21" s="1"/>
      <c r="L21" s="36"/>
      <c r="M21" s="1"/>
      <c r="N21" s="1"/>
      <c r="O21" s="1"/>
    </row>
    <row r="22" spans="1:15" ht="30" customHeight="1" x14ac:dyDescent="0.25">
      <c r="A22" s="7">
        <f t="shared" ref="A22:A29" si="8">+A21+0.1</f>
        <v>7.1</v>
      </c>
      <c r="B22" s="8" t="s">
        <v>34</v>
      </c>
      <c r="C22" s="13">
        <v>19548.599999999999</v>
      </c>
      <c r="D22" s="14">
        <v>12546.8</v>
      </c>
      <c r="E22" s="14">
        <v>19239.36</v>
      </c>
      <c r="F22" s="14">
        <v>17744.759999999998</v>
      </c>
      <c r="G22" s="14">
        <v>17808.990000000002</v>
      </c>
      <c r="H22" s="14">
        <v>13174.14</v>
      </c>
      <c r="I22" s="14">
        <v>14966.54</v>
      </c>
      <c r="J22" s="14">
        <v>11829.87</v>
      </c>
      <c r="K22" s="14">
        <v>15056.16</v>
      </c>
      <c r="L22" s="49">
        <v>82886.44</v>
      </c>
      <c r="M22" s="14">
        <v>296342.37</v>
      </c>
      <c r="N22" s="14">
        <v>395815.67</v>
      </c>
      <c r="O22" s="15">
        <f t="shared" ref="O22:O29" si="9">SUM(C22:N22)</f>
        <v>916959.7</v>
      </c>
    </row>
    <row r="23" spans="1:15" ht="30" customHeight="1" x14ac:dyDescent="0.25">
      <c r="A23" s="7">
        <f t="shared" si="8"/>
        <v>7.1999999999999993</v>
      </c>
      <c r="B23" s="8" t="s">
        <v>35</v>
      </c>
      <c r="C23" s="14">
        <v>1212.94</v>
      </c>
      <c r="D23" s="14">
        <v>1100.75</v>
      </c>
      <c r="E23" s="14">
        <v>1212.21</v>
      </c>
      <c r="F23" s="14">
        <v>1223.73</v>
      </c>
      <c r="G23" s="14">
        <v>1244.58</v>
      </c>
      <c r="H23" s="14">
        <v>1315.19</v>
      </c>
      <c r="I23" s="14">
        <v>1895.34</v>
      </c>
      <c r="J23" s="14">
        <v>1295.3800000000001</v>
      </c>
      <c r="K23" s="14">
        <v>2582.1</v>
      </c>
      <c r="L23" s="49">
        <v>24427.78</v>
      </c>
      <c r="M23" s="14">
        <v>1295.3800000000001</v>
      </c>
      <c r="N23" s="14">
        <v>30214.79</v>
      </c>
      <c r="O23" s="15">
        <f t="shared" si="9"/>
        <v>69020.17</v>
      </c>
    </row>
    <row r="24" spans="1:15" ht="30" customHeight="1" x14ac:dyDescent="0.25">
      <c r="A24" s="7">
        <f t="shared" si="8"/>
        <v>7.2999999999999989</v>
      </c>
      <c r="B24" s="8" t="s">
        <v>36</v>
      </c>
      <c r="C24" s="14">
        <v>1186.97</v>
      </c>
      <c r="D24" s="14">
        <v>1303</v>
      </c>
      <c r="E24" s="14">
        <v>2128.89</v>
      </c>
      <c r="F24" s="14">
        <v>1035.2</v>
      </c>
      <c r="G24" s="14">
        <v>2687.35</v>
      </c>
      <c r="H24" s="14">
        <v>1879.6</v>
      </c>
      <c r="I24" s="14">
        <v>1289.93</v>
      </c>
      <c r="J24" s="14">
        <v>1246.5999999999999</v>
      </c>
      <c r="K24" s="14">
        <v>2252.12</v>
      </c>
      <c r="L24" s="49"/>
      <c r="M24" s="14">
        <v>29774.77</v>
      </c>
      <c r="N24" s="14">
        <v>181600.43</v>
      </c>
      <c r="O24" s="15">
        <f t="shared" si="9"/>
        <v>226384.86</v>
      </c>
    </row>
    <row r="25" spans="1:15" ht="30" customHeight="1" x14ac:dyDescent="0.25">
      <c r="A25" s="7">
        <f t="shared" si="8"/>
        <v>7.3999999999999986</v>
      </c>
      <c r="B25" s="8" t="s">
        <v>37</v>
      </c>
      <c r="C25" s="14">
        <v>140224.32000000001</v>
      </c>
      <c r="D25" s="14">
        <v>131821.20000000001</v>
      </c>
      <c r="E25" s="14">
        <v>145043.85999999999</v>
      </c>
      <c r="F25" s="14">
        <v>134622.14000000001</v>
      </c>
      <c r="G25" s="14">
        <v>141501.12</v>
      </c>
      <c r="H25" s="14">
        <v>150441.04</v>
      </c>
      <c r="I25" s="14">
        <v>188726.74</v>
      </c>
      <c r="J25" s="14">
        <v>148769.20000000001</v>
      </c>
      <c r="K25" s="14">
        <v>197191.86</v>
      </c>
      <c r="L25" s="49"/>
      <c r="M25" s="14">
        <v>151457.60000000001</v>
      </c>
      <c r="N25" s="14">
        <v>110291.28</v>
      </c>
      <c r="O25" s="15">
        <f t="shared" si="9"/>
        <v>1640090.36</v>
      </c>
    </row>
    <row r="26" spans="1:15" ht="30" customHeight="1" x14ac:dyDescent="0.25">
      <c r="A26" s="7">
        <f t="shared" si="8"/>
        <v>7.4999999999999982</v>
      </c>
      <c r="B26" s="8" t="s">
        <v>38</v>
      </c>
      <c r="C26" s="14">
        <v>150.16</v>
      </c>
      <c r="D26" s="14">
        <v>191.57</v>
      </c>
      <c r="E26" s="14">
        <v>231.69</v>
      </c>
      <c r="F26" s="14">
        <v>3417.21</v>
      </c>
      <c r="G26" s="14">
        <v>116.49</v>
      </c>
      <c r="H26" s="14">
        <v>999.26</v>
      </c>
      <c r="I26" s="14">
        <v>310.64</v>
      </c>
      <c r="J26" s="14">
        <v>349.47</v>
      </c>
      <c r="K26" s="14">
        <v>327583.03000000003</v>
      </c>
      <c r="L26" s="49"/>
      <c r="M26" s="14">
        <v>233150.75</v>
      </c>
      <c r="N26" s="14">
        <v>46023.53</v>
      </c>
      <c r="O26" s="15">
        <f t="shared" si="9"/>
        <v>612523.80000000005</v>
      </c>
    </row>
    <row r="27" spans="1:15" ht="30" customHeight="1" x14ac:dyDescent="0.25">
      <c r="A27" s="7">
        <f t="shared" si="8"/>
        <v>7.5999999999999979</v>
      </c>
      <c r="B27" s="8" t="s">
        <v>39</v>
      </c>
      <c r="C27" s="14"/>
      <c r="D27" s="14"/>
      <c r="E27" s="14"/>
      <c r="F27" s="14"/>
      <c r="G27" s="14"/>
      <c r="H27" s="14"/>
      <c r="I27" s="14"/>
      <c r="J27" s="14"/>
      <c r="K27" s="14"/>
      <c r="L27" s="49">
        <v>4576.42</v>
      </c>
      <c r="M27" s="14"/>
      <c r="N27" s="14"/>
      <c r="O27" s="15">
        <f t="shared" si="9"/>
        <v>4576.42</v>
      </c>
    </row>
    <row r="28" spans="1:15" ht="30" customHeight="1" x14ac:dyDescent="0.25">
      <c r="A28" s="7">
        <f t="shared" si="8"/>
        <v>7.6999999999999975</v>
      </c>
      <c r="B28" s="8" t="s">
        <v>40</v>
      </c>
      <c r="C28" s="14"/>
      <c r="D28" s="14"/>
      <c r="E28" s="14"/>
      <c r="F28" s="14"/>
      <c r="G28" s="14"/>
      <c r="H28" s="14"/>
      <c r="I28" s="14"/>
      <c r="J28" s="14"/>
      <c r="K28" s="14">
        <v>150000</v>
      </c>
      <c r="L28" s="49"/>
      <c r="M28" s="14"/>
      <c r="N28" s="14"/>
      <c r="O28" s="15">
        <f t="shared" si="9"/>
        <v>150000</v>
      </c>
    </row>
    <row r="29" spans="1:15" ht="30" customHeight="1" x14ac:dyDescent="0.25">
      <c r="A29" s="16">
        <f t="shared" si="8"/>
        <v>7.7999999999999972</v>
      </c>
      <c r="B29" s="11" t="s">
        <v>41</v>
      </c>
      <c r="C29" s="15">
        <v>162322.99000000002</v>
      </c>
      <c r="D29" s="15">
        <f>SUM(D22:D28)</f>
        <v>146963.32</v>
      </c>
      <c r="E29" s="15">
        <v>167856.00999999998</v>
      </c>
      <c r="F29" s="15">
        <f>SUM(F22:F28)</f>
        <v>158043.04</v>
      </c>
      <c r="G29" s="15">
        <f>SUM(G22:G28)</f>
        <v>163358.52999999997</v>
      </c>
      <c r="H29" s="15">
        <v>167809.23</v>
      </c>
      <c r="I29" s="15">
        <v>207189.19</v>
      </c>
      <c r="J29" s="15">
        <f>SUM(J22:J28)</f>
        <v>163490.52000000002</v>
      </c>
      <c r="K29" s="15">
        <f>SUM(K22:K28)</f>
        <v>694665.27</v>
      </c>
      <c r="L29" s="50">
        <f>SUM(L22:L28)</f>
        <v>111890.64</v>
      </c>
      <c r="M29" s="15">
        <f>SUM(M22:M28)</f>
        <v>712020.87</v>
      </c>
      <c r="N29" s="15">
        <f>SUM(N22:N28)</f>
        <v>763945.7</v>
      </c>
      <c r="O29" s="15">
        <f t="shared" si="9"/>
        <v>3619555.3100000005</v>
      </c>
    </row>
    <row r="30" spans="1:15" ht="10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17" t="s">
        <v>42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21.75" customHeight="1" x14ac:dyDescent="0.25">
      <c r="A32" s="58" t="s">
        <v>43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  <row r="33" spans="1:15" ht="22.5" customHeight="1" x14ac:dyDescent="0.25">
      <c r="A33" s="58" t="s">
        <v>44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</row>
    <row r="34" spans="1:15" ht="32.25" customHeight="1" x14ac:dyDescent="0.25">
      <c r="A34" s="58" t="s">
        <v>45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</row>
    <row r="35" spans="1:15" ht="24.75" customHeight="1" x14ac:dyDescent="0.25">
      <c r="A35" s="58" t="s">
        <v>46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</row>
    <row r="36" spans="1:15" ht="33.75" customHeight="1" x14ac:dyDescent="0.25">
      <c r="A36" s="58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8">
    <mergeCell ref="A1:O1"/>
    <mergeCell ref="A2:O2"/>
    <mergeCell ref="A3:O3"/>
    <mergeCell ref="A35:O35"/>
    <mergeCell ref="A36:O36"/>
    <mergeCell ref="A32:O32"/>
    <mergeCell ref="A33:O33"/>
    <mergeCell ref="A34:O34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O122"/>
  <sheetViews>
    <sheetView zoomScale="60" zoomScaleNormal="60" workbookViewId="0">
      <selection activeCell="K123" sqref="K123"/>
    </sheetView>
  </sheetViews>
  <sheetFormatPr baseColWidth="10" defaultColWidth="14.42578125" defaultRowHeight="15" customHeight="1" x14ac:dyDescent="0.25"/>
  <cols>
    <col min="1" max="1" width="8.42578125" customWidth="1"/>
    <col min="2" max="2" width="49.28515625" customWidth="1"/>
    <col min="3" max="4" width="17" customWidth="1"/>
    <col min="5" max="5" width="16.28515625" customWidth="1"/>
    <col min="6" max="6" width="15.85546875" customWidth="1"/>
    <col min="7" max="10" width="16.85546875" customWidth="1"/>
    <col min="11" max="11" width="20.140625" customWidth="1"/>
    <col min="12" max="12" width="15.85546875" customWidth="1"/>
    <col min="13" max="13" width="19" customWidth="1"/>
    <col min="14" max="14" width="18.28515625" customWidth="1"/>
    <col min="15" max="15" width="18.4257812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33" customHeight="1" x14ac:dyDescent="0.25">
      <c r="A5" s="10">
        <v>1</v>
      </c>
      <c r="B5" s="3" t="s">
        <v>47</v>
      </c>
      <c r="C5" s="4">
        <v>5</v>
      </c>
      <c r="D5" s="4">
        <v>6</v>
      </c>
      <c r="E5" s="4">
        <v>5</v>
      </c>
      <c r="F5" s="4">
        <v>3</v>
      </c>
      <c r="G5" s="4">
        <v>3</v>
      </c>
      <c r="H5" s="4">
        <v>8</v>
      </c>
      <c r="I5" s="4">
        <v>8</v>
      </c>
      <c r="J5" s="4">
        <v>10</v>
      </c>
      <c r="K5" s="4">
        <v>4</v>
      </c>
      <c r="L5" s="35">
        <v>1</v>
      </c>
      <c r="M5" s="4">
        <v>9</v>
      </c>
      <c r="N5" s="4">
        <v>8</v>
      </c>
      <c r="O5" s="5">
        <f t="shared" ref="O5:O9" si="0">SUM(C5:N5)</f>
        <v>70</v>
      </c>
    </row>
    <row r="6" spans="1:15" ht="33" customHeight="1" x14ac:dyDescent="0.25">
      <c r="A6" s="10">
        <f>+A5+1</f>
        <v>2</v>
      </c>
      <c r="B6" s="3" t="s">
        <v>48</v>
      </c>
      <c r="C6" s="4">
        <v>25</v>
      </c>
      <c r="D6" s="4">
        <v>44</v>
      </c>
      <c r="E6" s="4">
        <v>15</v>
      </c>
      <c r="F6" s="4">
        <v>30</v>
      </c>
      <c r="G6" s="4">
        <v>34</v>
      </c>
      <c r="H6" s="4">
        <v>30</v>
      </c>
      <c r="I6" s="4">
        <v>35</v>
      </c>
      <c r="J6" s="4">
        <v>42</v>
      </c>
      <c r="K6" s="4">
        <v>30</v>
      </c>
      <c r="L6" s="38">
        <v>19</v>
      </c>
      <c r="M6" s="4">
        <v>26</v>
      </c>
      <c r="N6" s="4">
        <v>46</v>
      </c>
      <c r="O6" s="5">
        <f t="shared" si="0"/>
        <v>376</v>
      </c>
    </row>
    <row r="7" spans="1:15" ht="33" customHeight="1" x14ac:dyDescent="0.25">
      <c r="A7" s="10">
        <v>3</v>
      </c>
      <c r="B7" s="3" t="s">
        <v>49</v>
      </c>
      <c r="C7" s="4">
        <v>186</v>
      </c>
      <c r="D7" s="4">
        <v>416</v>
      </c>
      <c r="E7" s="4">
        <v>382</v>
      </c>
      <c r="F7" s="41">
        <v>346</v>
      </c>
      <c r="G7" s="4">
        <v>286</v>
      </c>
      <c r="H7" s="4">
        <v>312</v>
      </c>
      <c r="I7" s="4">
        <v>396</v>
      </c>
      <c r="J7" s="4">
        <v>484</v>
      </c>
      <c r="K7" s="4">
        <v>390</v>
      </c>
      <c r="L7" s="35">
        <v>54</v>
      </c>
      <c r="M7" s="4">
        <v>179</v>
      </c>
      <c r="N7" s="4">
        <v>322</v>
      </c>
      <c r="O7" s="5">
        <f t="shared" si="0"/>
        <v>3753</v>
      </c>
    </row>
    <row r="8" spans="1:15" ht="33" customHeight="1" x14ac:dyDescent="0.25">
      <c r="A8" s="10">
        <f t="shared" ref="A8:A10" si="1">+A7+1</f>
        <v>4</v>
      </c>
      <c r="B8" s="3" t="s">
        <v>50</v>
      </c>
      <c r="C8" s="4">
        <v>35</v>
      </c>
      <c r="D8" s="4">
        <v>240</v>
      </c>
      <c r="E8" s="4">
        <v>220</v>
      </c>
      <c r="F8" s="4">
        <v>80</v>
      </c>
      <c r="G8" s="4">
        <v>150</v>
      </c>
      <c r="H8" s="4">
        <v>1201</v>
      </c>
      <c r="I8" s="4">
        <v>868</v>
      </c>
      <c r="J8" s="4">
        <v>1414</v>
      </c>
      <c r="K8" s="4">
        <v>520</v>
      </c>
      <c r="L8" s="35">
        <v>81</v>
      </c>
      <c r="M8" s="4">
        <v>407</v>
      </c>
      <c r="N8" s="4">
        <v>344</v>
      </c>
      <c r="O8" s="5">
        <f t="shared" si="0"/>
        <v>5560</v>
      </c>
    </row>
    <row r="9" spans="1:15" ht="33" customHeight="1" x14ac:dyDescent="0.25">
      <c r="A9" s="10">
        <f t="shared" si="1"/>
        <v>5</v>
      </c>
      <c r="B9" s="43" t="s">
        <v>51</v>
      </c>
      <c r="C9" s="40">
        <v>5</v>
      </c>
      <c r="D9" s="40">
        <v>6</v>
      </c>
      <c r="E9" s="40">
        <v>5</v>
      </c>
      <c r="F9" s="40">
        <v>3</v>
      </c>
      <c r="G9" s="40">
        <v>3</v>
      </c>
      <c r="H9" s="40">
        <v>17</v>
      </c>
      <c r="I9" s="4">
        <v>14</v>
      </c>
      <c r="J9" s="4">
        <v>13</v>
      </c>
      <c r="K9" s="4">
        <v>5</v>
      </c>
      <c r="L9" s="35">
        <v>3</v>
      </c>
      <c r="M9" s="4">
        <v>0</v>
      </c>
      <c r="N9" s="4">
        <v>0</v>
      </c>
      <c r="O9" s="5">
        <f t="shared" si="0"/>
        <v>74</v>
      </c>
    </row>
    <row r="10" spans="1:15" ht="30" customHeight="1" x14ac:dyDescent="0.25">
      <c r="A10" s="1">
        <f t="shared" si="1"/>
        <v>6</v>
      </c>
      <c r="B10" s="1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36"/>
      <c r="M10" s="1"/>
      <c r="N10" s="1"/>
      <c r="O10" s="1"/>
    </row>
    <row r="11" spans="1:15" ht="27" customHeight="1" x14ac:dyDescent="0.25">
      <c r="A11" s="7">
        <f t="shared" ref="A11:A16" si="2">+A10+0.1</f>
        <v>6.1</v>
      </c>
      <c r="B11" s="8" t="s">
        <v>53</v>
      </c>
      <c r="C11" s="9">
        <v>18</v>
      </c>
      <c r="D11" s="4">
        <v>35</v>
      </c>
      <c r="E11" s="4">
        <v>46</v>
      </c>
      <c r="F11" s="4">
        <v>36</v>
      </c>
      <c r="G11" s="9">
        <v>54</v>
      </c>
      <c r="H11" s="9">
        <v>41</v>
      </c>
      <c r="I11" s="9">
        <v>37</v>
      </c>
      <c r="J11" s="9">
        <v>51</v>
      </c>
      <c r="K11" s="9">
        <v>62</v>
      </c>
      <c r="L11" s="38">
        <v>9</v>
      </c>
      <c r="M11" s="9">
        <v>56</v>
      </c>
      <c r="N11" s="39">
        <v>44</v>
      </c>
      <c r="O11" s="5">
        <f t="shared" ref="O11:O16" si="3">SUM(C11:N11)</f>
        <v>489</v>
      </c>
    </row>
    <row r="12" spans="1:15" ht="27" customHeight="1" x14ac:dyDescent="0.25">
      <c r="A12" s="7">
        <f t="shared" si="2"/>
        <v>6.1999999999999993</v>
      </c>
      <c r="B12" s="8" t="s">
        <v>54</v>
      </c>
      <c r="C12" s="9">
        <v>0</v>
      </c>
      <c r="D12" s="4">
        <v>4</v>
      </c>
      <c r="E12" s="4">
        <v>2</v>
      </c>
      <c r="F12" s="4">
        <v>0</v>
      </c>
      <c r="G12" s="9">
        <v>1</v>
      </c>
      <c r="H12" s="9">
        <v>0</v>
      </c>
      <c r="I12" s="9">
        <v>2</v>
      </c>
      <c r="J12" s="9">
        <v>2</v>
      </c>
      <c r="K12" s="9">
        <v>3</v>
      </c>
      <c r="L12" s="38">
        <v>4</v>
      </c>
      <c r="M12" s="39">
        <v>6</v>
      </c>
      <c r="N12" s="39">
        <v>2</v>
      </c>
      <c r="O12" s="5">
        <f t="shared" si="3"/>
        <v>26</v>
      </c>
    </row>
    <row r="13" spans="1:15" ht="27" customHeight="1" x14ac:dyDescent="0.25">
      <c r="A13" s="7">
        <f t="shared" si="2"/>
        <v>6.2999999999999989</v>
      </c>
      <c r="B13" s="8" t="s">
        <v>55</v>
      </c>
      <c r="C13" s="9">
        <v>0</v>
      </c>
      <c r="D13" s="4">
        <v>0</v>
      </c>
      <c r="E13" s="9">
        <v>0</v>
      </c>
      <c r="F13" s="4">
        <v>0</v>
      </c>
      <c r="G13" s="9">
        <v>0</v>
      </c>
      <c r="H13" s="9">
        <v>0</v>
      </c>
      <c r="I13" s="9">
        <v>0</v>
      </c>
      <c r="J13" s="9">
        <v>0</v>
      </c>
      <c r="K13" s="4">
        <v>0</v>
      </c>
      <c r="L13" s="35">
        <v>0</v>
      </c>
      <c r="M13" s="39">
        <v>0</v>
      </c>
      <c r="N13" s="9">
        <v>0</v>
      </c>
      <c r="O13" s="5">
        <f t="shared" si="3"/>
        <v>0</v>
      </c>
    </row>
    <row r="14" spans="1:15" ht="27" customHeight="1" x14ac:dyDescent="0.25">
      <c r="A14" s="7">
        <f t="shared" si="2"/>
        <v>6.3999999999999986</v>
      </c>
      <c r="B14" s="8" t="s">
        <v>56</v>
      </c>
      <c r="C14" s="9">
        <v>0</v>
      </c>
      <c r="D14" s="4">
        <v>0</v>
      </c>
      <c r="E14" s="9">
        <v>0</v>
      </c>
      <c r="F14" s="4">
        <v>0</v>
      </c>
      <c r="G14" s="9">
        <v>0</v>
      </c>
      <c r="H14" s="9">
        <v>0</v>
      </c>
      <c r="I14" s="9">
        <v>0</v>
      </c>
      <c r="J14" s="9">
        <v>0</v>
      </c>
      <c r="K14" s="4">
        <v>0</v>
      </c>
      <c r="L14" s="35">
        <v>0</v>
      </c>
      <c r="M14" s="9">
        <v>0</v>
      </c>
      <c r="N14" s="9">
        <v>0</v>
      </c>
      <c r="O14" s="5">
        <f t="shared" si="3"/>
        <v>0</v>
      </c>
    </row>
    <row r="15" spans="1:15" ht="27" customHeight="1" x14ac:dyDescent="0.25">
      <c r="A15" s="7">
        <f t="shared" si="2"/>
        <v>6.4999999999999982</v>
      </c>
      <c r="B15" s="8" t="s">
        <v>57</v>
      </c>
      <c r="C15" s="9">
        <v>55</v>
      </c>
      <c r="D15" s="4">
        <v>59</v>
      </c>
      <c r="E15" s="4">
        <v>85</v>
      </c>
      <c r="F15" s="4">
        <v>58</v>
      </c>
      <c r="G15" s="9">
        <v>77</v>
      </c>
      <c r="H15" s="9">
        <v>65</v>
      </c>
      <c r="I15" s="9">
        <v>58</v>
      </c>
      <c r="J15" s="9">
        <v>61</v>
      </c>
      <c r="K15" s="9">
        <v>81</v>
      </c>
      <c r="L15" s="35">
        <v>9</v>
      </c>
      <c r="M15" s="9">
        <v>89</v>
      </c>
      <c r="N15" s="9">
        <v>44</v>
      </c>
      <c r="O15" s="5">
        <f t="shared" si="3"/>
        <v>741</v>
      </c>
    </row>
    <row r="16" spans="1:15" ht="27" customHeight="1" x14ac:dyDescent="0.25">
      <c r="A16" s="7">
        <f t="shared" si="2"/>
        <v>6.5999999999999979</v>
      </c>
      <c r="B16" s="8" t="s">
        <v>58</v>
      </c>
      <c r="C16" s="9">
        <v>186</v>
      </c>
      <c r="D16" s="4">
        <v>416</v>
      </c>
      <c r="E16" s="9">
        <v>382</v>
      </c>
      <c r="F16" s="41">
        <v>346</v>
      </c>
      <c r="G16" s="9">
        <v>286</v>
      </c>
      <c r="H16" s="9">
        <v>312</v>
      </c>
      <c r="I16" s="9">
        <v>397</v>
      </c>
      <c r="J16" s="9">
        <v>484</v>
      </c>
      <c r="K16" s="9">
        <v>390</v>
      </c>
      <c r="L16" s="38">
        <v>54</v>
      </c>
      <c r="M16" s="9">
        <v>179</v>
      </c>
      <c r="N16" s="9">
        <v>322</v>
      </c>
      <c r="O16" s="5">
        <f t="shared" si="3"/>
        <v>3754</v>
      </c>
    </row>
    <row r="17" spans="1:15" ht="30" customHeight="1" x14ac:dyDescent="0.25">
      <c r="A17" s="1">
        <f>+A10+1</f>
        <v>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36"/>
      <c r="M17" s="1"/>
      <c r="N17" s="1"/>
      <c r="O17" s="1"/>
    </row>
    <row r="18" spans="1:15" ht="24.75" customHeight="1" x14ac:dyDescent="0.25">
      <c r="A18" s="7">
        <f t="shared" ref="A18:A22" si="4">+A17+0.1</f>
        <v>7.1</v>
      </c>
      <c r="B18" s="8" t="s">
        <v>60</v>
      </c>
      <c r="C18" s="9">
        <v>86</v>
      </c>
      <c r="D18" s="9">
        <v>62</v>
      </c>
      <c r="E18" s="9">
        <v>110</v>
      </c>
      <c r="F18" s="9">
        <v>76</v>
      </c>
      <c r="G18" s="9">
        <v>77</v>
      </c>
      <c r="H18" s="9">
        <v>20</v>
      </c>
      <c r="I18" s="9">
        <v>6</v>
      </c>
      <c r="J18" s="40">
        <v>13</v>
      </c>
      <c r="K18" s="9">
        <v>1</v>
      </c>
      <c r="L18" s="38">
        <v>4</v>
      </c>
      <c r="M18" s="9">
        <v>32</v>
      </c>
      <c r="N18" s="9">
        <v>18</v>
      </c>
      <c r="O18" s="5">
        <f t="shared" ref="O18:O22" si="5">SUM(C18:N18)</f>
        <v>505</v>
      </c>
    </row>
    <row r="19" spans="1:15" ht="24.75" customHeight="1" x14ac:dyDescent="0.25">
      <c r="A19" s="7">
        <f t="shared" si="4"/>
        <v>7.1999999999999993</v>
      </c>
      <c r="B19" s="8" t="s">
        <v>61</v>
      </c>
      <c r="C19" s="9">
        <v>69</v>
      </c>
      <c r="D19" s="9">
        <v>65</v>
      </c>
      <c r="E19" s="9">
        <v>90</v>
      </c>
      <c r="F19" s="9">
        <v>60</v>
      </c>
      <c r="G19" s="9">
        <v>75</v>
      </c>
      <c r="H19" s="9">
        <v>15</v>
      </c>
      <c r="I19" s="9">
        <v>3</v>
      </c>
      <c r="J19" s="40">
        <v>9</v>
      </c>
      <c r="K19" s="9">
        <v>3</v>
      </c>
      <c r="L19" s="38">
        <v>3</v>
      </c>
      <c r="M19" s="9">
        <v>19</v>
      </c>
      <c r="N19" s="9">
        <v>18</v>
      </c>
      <c r="O19" s="5">
        <f t="shared" si="5"/>
        <v>429</v>
      </c>
    </row>
    <row r="20" spans="1:15" ht="24.75" customHeight="1" x14ac:dyDescent="0.25">
      <c r="A20" s="7">
        <f t="shared" si="4"/>
        <v>7.2999999999999989</v>
      </c>
      <c r="B20" s="8" t="s">
        <v>62</v>
      </c>
      <c r="C20" s="9">
        <v>3</v>
      </c>
      <c r="D20" s="9">
        <v>0</v>
      </c>
      <c r="E20" s="9">
        <v>0</v>
      </c>
      <c r="F20" s="9">
        <v>2</v>
      </c>
      <c r="G20" s="9">
        <v>2</v>
      </c>
      <c r="H20" s="9">
        <v>2</v>
      </c>
      <c r="I20" s="9">
        <v>0</v>
      </c>
      <c r="J20" s="40">
        <v>0</v>
      </c>
      <c r="K20" s="9">
        <v>1</v>
      </c>
      <c r="L20" s="38">
        <v>0</v>
      </c>
      <c r="M20" s="9">
        <v>5</v>
      </c>
      <c r="N20" s="9">
        <v>0</v>
      </c>
      <c r="O20" s="5">
        <f t="shared" si="5"/>
        <v>15</v>
      </c>
    </row>
    <row r="21" spans="1:15" ht="24.75" customHeight="1" x14ac:dyDescent="0.25">
      <c r="A21" s="7">
        <f t="shared" si="4"/>
        <v>7.3999999999999986</v>
      </c>
      <c r="B21" s="8" t="s">
        <v>63</v>
      </c>
      <c r="C21" s="9">
        <v>1</v>
      </c>
      <c r="D21" s="9">
        <v>15</v>
      </c>
      <c r="E21" s="9">
        <v>0</v>
      </c>
      <c r="F21" s="9">
        <v>1</v>
      </c>
      <c r="G21" s="9">
        <v>0</v>
      </c>
      <c r="H21" s="9">
        <v>7</v>
      </c>
      <c r="I21" s="9">
        <v>0</v>
      </c>
      <c r="J21" s="40">
        <v>45</v>
      </c>
      <c r="K21" s="9">
        <v>0</v>
      </c>
      <c r="L21" s="38">
        <v>0</v>
      </c>
      <c r="M21" s="9">
        <v>0</v>
      </c>
      <c r="N21" s="9">
        <v>0</v>
      </c>
      <c r="O21" s="5">
        <f t="shared" si="5"/>
        <v>69</v>
      </c>
    </row>
    <row r="22" spans="1:15" ht="24.75" customHeight="1" x14ac:dyDescent="0.25">
      <c r="A22" s="7">
        <f t="shared" si="4"/>
        <v>7.4999999999999982</v>
      </c>
      <c r="B22" s="8" t="s">
        <v>64</v>
      </c>
      <c r="C22" s="14">
        <v>21720</v>
      </c>
      <c r="D22" s="19">
        <v>627140</v>
      </c>
      <c r="E22" s="14">
        <v>0</v>
      </c>
      <c r="F22" s="14">
        <v>53772</v>
      </c>
      <c r="G22" s="14">
        <v>0</v>
      </c>
      <c r="H22" s="14">
        <v>125468</v>
      </c>
      <c r="I22" s="14">
        <v>0</v>
      </c>
      <c r="J22" s="14"/>
      <c r="K22" s="14">
        <v>0</v>
      </c>
      <c r="L22" s="14">
        <v>0</v>
      </c>
      <c r="M22" s="14">
        <v>0</v>
      </c>
      <c r="N22" s="19">
        <v>0</v>
      </c>
      <c r="O22" s="14">
        <f t="shared" si="5"/>
        <v>828100</v>
      </c>
    </row>
    <row r="23" spans="1:15" ht="30" customHeight="1" x14ac:dyDescent="0.25">
      <c r="A23" s="1">
        <f>+A17+1</f>
        <v>8</v>
      </c>
      <c r="B23" s="1" t="s">
        <v>65</v>
      </c>
      <c r="C23" s="1"/>
      <c r="D23" s="1"/>
      <c r="E23" s="1"/>
      <c r="F23" s="1"/>
      <c r="G23" s="1"/>
      <c r="H23" s="1"/>
      <c r="I23" s="1"/>
      <c r="J23" s="1"/>
      <c r="K23" s="1"/>
      <c r="L23" s="36"/>
      <c r="M23" s="1"/>
      <c r="N23" s="1"/>
      <c r="O23" s="1"/>
    </row>
    <row r="24" spans="1:15" ht="22.5" customHeight="1" x14ac:dyDescent="0.25">
      <c r="A24" s="7">
        <f t="shared" ref="A24:A32" si="6">+A23+0.1</f>
        <v>8.1</v>
      </c>
      <c r="B24" s="8" t="s">
        <v>66</v>
      </c>
      <c r="C24" s="9">
        <v>135</v>
      </c>
      <c r="D24" s="9">
        <v>98</v>
      </c>
      <c r="E24" s="9">
        <v>104</v>
      </c>
      <c r="F24" s="9">
        <v>112</v>
      </c>
      <c r="G24" s="9">
        <v>129</v>
      </c>
      <c r="H24" s="9">
        <v>85</v>
      </c>
      <c r="I24" s="9">
        <v>125</v>
      </c>
      <c r="J24" s="37">
        <v>150</v>
      </c>
      <c r="K24" s="37">
        <v>108</v>
      </c>
      <c r="L24" s="38">
        <v>130</v>
      </c>
      <c r="M24" s="37">
        <v>82</v>
      </c>
      <c r="N24" s="37">
        <v>56</v>
      </c>
      <c r="O24" s="5">
        <f t="shared" ref="O24:O33" si="7">SUM(C24:N24)</f>
        <v>1314</v>
      </c>
    </row>
    <row r="25" spans="1:15" ht="22.5" customHeight="1" x14ac:dyDescent="0.25">
      <c r="A25" s="7">
        <f t="shared" si="6"/>
        <v>8.1999999999999993</v>
      </c>
      <c r="B25" s="8" t="s">
        <v>67</v>
      </c>
      <c r="C25" s="9">
        <v>6</v>
      </c>
      <c r="D25" s="9">
        <v>8</v>
      </c>
      <c r="E25" s="9">
        <v>6</v>
      </c>
      <c r="F25" s="9">
        <v>5</v>
      </c>
      <c r="G25" s="9">
        <v>3</v>
      </c>
      <c r="H25" s="9">
        <v>6</v>
      </c>
      <c r="I25" s="9">
        <v>16</v>
      </c>
      <c r="J25" s="37">
        <v>8</v>
      </c>
      <c r="K25" s="37">
        <v>5</v>
      </c>
      <c r="L25" s="38">
        <v>16</v>
      </c>
      <c r="M25" s="37">
        <v>30</v>
      </c>
      <c r="N25" s="37">
        <v>38</v>
      </c>
      <c r="O25" s="5">
        <f t="shared" si="7"/>
        <v>147</v>
      </c>
    </row>
    <row r="26" spans="1:15" ht="22.5" customHeight="1" x14ac:dyDescent="0.25">
      <c r="A26" s="7">
        <f t="shared" si="6"/>
        <v>8.2999999999999989</v>
      </c>
      <c r="B26" s="8" t="s">
        <v>68</v>
      </c>
      <c r="C26" s="9">
        <v>27</v>
      </c>
      <c r="D26" s="9">
        <v>18</v>
      </c>
      <c r="E26" s="9">
        <v>16</v>
      </c>
      <c r="F26" s="9">
        <v>16</v>
      </c>
      <c r="G26" s="9">
        <v>20</v>
      </c>
      <c r="H26" s="9">
        <v>17</v>
      </c>
      <c r="I26" s="9">
        <v>19</v>
      </c>
      <c r="J26" s="37">
        <v>12</v>
      </c>
      <c r="K26" s="37">
        <v>18</v>
      </c>
      <c r="L26" s="38">
        <v>12</v>
      </c>
      <c r="M26" s="37">
        <v>18</v>
      </c>
      <c r="N26" s="37">
        <v>28</v>
      </c>
      <c r="O26" s="5">
        <f t="shared" si="7"/>
        <v>221</v>
      </c>
    </row>
    <row r="27" spans="1:15" ht="22.5" customHeight="1" x14ac:dyDescent="0.25">
      <c r="A27" s="7">
        <f t="shared" si="6"/>
        <v>8.3999999999999986</v>
      </c>
      <c r="B27" s="8" t="s">
        <v>69</v>
      </c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0</v>
      </c>
      <c r="I27" s="9">
        <v>0</v>
      </c>
      <c r="J27" s="37">
        <v>0</v>
      </c>
      <c r="K27" s="37">
        <v>0</v>
      </c>
      <c r="L27" s="38">
        <v>0</v>
      </c>
      <c r="M27" s="37">
        <v>1</v>
      </c>
      <c r="N27" s="37">
        <v>0</v>
      </c>
      <c r="O27" s="5">
        <f t="shared" si="7"/>
        <v>2</v>
      </c>
    </row>
    <row r="28" spans="1:15" ht="22.5" customHeight="1" x14ac:dyDescent="0.25">
      <c r="A28" s="7">
        <f t="shared" si="6"/>
        <v>8.4999999999999982</v>
      </c>
      <c r="B28" s="8" t="s">
        <v>70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37">
        <v>0</v>
      </c>
      <c r="K28" s="37">
        <v>0</v>
      </c>
      <c r="L28" s="38">
        <v>0</v>
      </c>
      <c r="M28" s="37">
        <v>0</v>
      </c>
      <c r="N28" s="37">
        <v>0</v>
      </c>
      <c r="O28" s="5">
        <f t="shared" si="7"/>
        <v>0</v>
      </c>
    </row>
    <row r="29" spans="1:15" ht="22.5" customHeight="1" x14ac:dyDescent="0.25">
      <c r="A29" s="7">
        <f t="shared" si="6"/>
        <v>8.5999999999999979</v>
      </c>
      <c r="B29" s="8" t="s">
        <v>71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37">
        <v>0</v>
      </c>
      <c r="K29" s="37">
        <v>0</v>
      </c>
      <c r="L29" s="38">
        <v>0</v>
      </c>
      <c r="M29" s="37">
        <v>0</v>
      </c>
      <c r="N29" s="37">
        <v>0</v>
      </c>
      <c r="O29" s="5">
        <f t="shared" si="7"/>
        <v>0</v>
      </c>
    </row>
    <row r="30" spans="1:15" ht="22.5" customHeight="1" x14ac:dyDescent="0.25">
      <c r="A30" s="7">
        <f t="shared" si="6"/>
        <v>8.6999999999999975</v>
      </c>
      <c r="B30" s="8" t="s">
        <v>72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37">
        <v>0</v>
      </c>
      <c r="K30" s="37">
        <v>0</v>
      </c>
      <c r="L30" s="38">
        <v>0</v>
      </c>
      <c r="M30" s="37">
        <v>0</v>
      </c>
      <c r="N30" s="37">
        <v>1</v>
      </c>
      <c r="O30" s="5">
        <f t="shared" si="7"/>
        <v>1</v>
      </c>
    </row>
    <row r="31" spans="1:15" ht="22.5" customHeight="1" x14ac:dyDescent="0.25">
      <c r="A31" s="7">
        <f t="shared" si="6"/>
        <v>8.7999999999999972</v>
      </c>
      <c r="B31" s="8" t="s">
        <v>73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37">
        <v>0</v>
      </c>
      <c r="K31" s="37">
        <v>0</v>
      </c>
      <c r="L31" s="38">
        <v>0</v>
      </c>
      <c r="M31" s="37">
        <v>0</v>
      </c>
      <c r="N31" s="37">
        <v>0</v>
      </c>
      <c r="O31" s="5">
        <f t="shared" si="7"/>
        <v>0</v>
      </c>
    </row>
    <row r="32" spans="1:15" ht="22.5" customHeight="1" x14ac:dyDescent="0.25">
      <c r="A32" s="7">
        <f t="shared" si="6"/>
        <v>8.8999999999999968</v>
      </c>
      <c r="B32" s="8" t="s">
        <v>74</v>
      </c>
      <c r="C32" s="9">
        <v>18</v>
      </c>
      <c r="D32" s="9">
        <v>18</v>
      </c>
      <c r="E32" s="9">
        <v>16</v>
      </c>
      <c r="F32" s="9">
        <v>15</v>
      </c>
      <c r="G32" s="9">
        <v>18</v>
      </c>
      <c r="H32" s="9">
        <v>17</v>
      </c>
      <c r="I32" s="9">
        <v>12</v>
      </c>
      <c r="J32" s="37">
        <v>25</v>
      </c>
      <c r="K32" s="37">
        <v>19</v>
      </c>
      <c r="L32" s="38">
        <v>18</v>
      </c>
      <c r="M32" s="37">
        <v>22</v>
      </c>
      <c r="N32" s="37">
        <v>25</v>
      </c>
      <c r="O32" s="5">
        <f t="shared" si="7"/>
        <v>223</v>
      </c>
    </row>
    <row r="33" spans="1:15" ht="22.5" customHeight="1" x14ac:dyDescent="0.25">
      <c r="A33" s="20">
        <v>8.1</v>
      </c>
      <c r="B33" s="11" t="s">
        <v>75</v>
      </c>
      <c r="C33" s="5"/>
      <c r="D33" s="5"/>
      <c r="E33" s="4"/>
      <c r="F33" s="5"/>
      <c r="G33" s="5"/>
      <c r="H33" s="5"/>
      <c r="I33" s="5"/>
      <c r="J33" s="5"/>
      <c r="K33" s="5"/>
      <c r="L33" s="37"/>
      <c r="M33" s="5"/>
      <c r="N33" s="5"/>
      <c r="O33" s="5">
        <f t="shared" si="7"/>
        <v>0</v>
      </c>
    </row>
    <row r="34" spans="1:15" ht="30" customHeight="1" x14ac:dyDescent="0.25">
      <c r="A34" s="1">
        <f>+A23+1</f>
        <v>9</v>
      </c>
      <c r="B34" s="1" t="s">
        <v>76</v>
      </c>
      <c r="C34" s="1"/>
      <c r="D34" s="1"/>
      <c r="E34" s="1"/>
      <c r="F34" s="1"/>
      <c r="G34" s="1"/>
      <c r="H34" s="1"/>
      <c r="I34" s="1"/>
      <c r="J34" s="1"/>
      <c r="K34" s="1"/>
      <c r="L34" s="36"/>
      <c r="M34" s="1"/>
      <c r="N34" s="1"/>
      <c r="O34" s="1"/>
    </row>
    <row r="35" spans="1:15" ht="26.25" customHeight="1" x14ac:dyDescent="0.25">
      <c r="A35" s="7">
        <f t="shared" ref="A35:A43" si="8">+A34+0.1</f>
        <v>9.1</v>
      </c>
      <c r="B35" s="8" t="s">
        <v>77</v>
      </c>
      <c r="C35" s="9">
        <v>35</v>
      </c>
      <c r="D35" s="9">
        <v>38</v>
      </c>
      <c r="E35" s="9">
        <v>33</v>
      </c>
      <c r="F35" s="9">
        <v>37</v>
      </c>
      <c r="G35" s="9">
        <v>24</v>
      </c>
      <c r="H35" s="9">
        <v>18</v>
      </c>
      <c r="I35" s="9">
        <v>24</v>
      </c>
      <c r="J35" s="37">
        <v>21</v>
      </c>
      <c r="K35" s="37">
        <v>22</v>
      </c>
      <c r="L35" s="38">
        <v>31</v>
      </c>
      <c r="M35" s="37">
        <v>21</v>
      </c>
      <c r="N35" s="9">
        <v>17</v>
      </c>
      <c r="O35" s="5">
        <f t="shared" ref="O35:O47" si="9">SUM(C35:N35)</f>
        <v>321</v>
      </c>
    </row>
    <row r="36" spans="1:15" ht="26.25" customHeight="1" x14ac:dyDescent="0.25">
      <c r="A36" s="7">
        <f t="shared" si="8"/>
        <v>9.1999999999999993</v>
      </c>
      <c r="B36" s="8" t="s">
        <v>78</v>
      </c>
      <c r="C36" s="9">
        <v>13</v>
      </c>
      <c r="D36" s="9">
        <v>10</v>
      </c>
      <c r="E36" s="9">
        <v>9</v>
      </c>
      <c r="F36" s="9">
        <v>11</v>
      </c>
      <c r="G36" s="9">
        <v>8</v>
      </c>
      <c r="H36" s="9">
        <v>6</v>
      </c>
      <c r="I36" s="9">
        <v>7</v>
      </c>
      <c r="J36" s="37">
        <v>3</v>
      </c>
      <c r="K36" s="37">
        <v>3</v>
      </c>
      <c r="L36" s="38">
        <v>12</v>
      </c>
      <c r="M36" s="37">
        <v>8</v>
      </c>
      <c r="N36" s="9">
        <v>13</v>
      </c>
      <c r="O36" s="5">
        <f t="shared" si="9"/>
        <v>103</v>
      </c>
    </row>
    <row r="37" spans="1:15" ht="26.25" customHeight="1" x14ac:dyDescent="0.25">
      <c r="A37" s="7">
        <f t="shared" si="8"/>
        <v>9.2999999999999989</v>
      </c>
      <c r="B37" s="8" t="s">
        <v>79</v>
      </c>
      <c r="C37" s="9">
        <v>3</v>
      </c>
      <c r="D37" s="9">
        <v>3</v>
      </c>
      <c r="E37" s="9">
        <v>9</v>
      </c>
      <c r="F37" s="9">
        <v>2</v>
      </c>
      <c r="G37" s="9">
        <v>3</v>
      </c>
      <c r="H37" s="9">
        <v>3</v>
      </c>
      <c r="I37" s="9">
        <v>2</v>
      </c>
      <c r="J37" s="37">
        <v>1</v>
      </c>
      <c r="K37" s="37">
        <v>3</v>
      </c>
      <c r="L37" s="38">
        <v>1</v>
      </c>
      <c r="M37" s="37">
        <v>1</v>
      </c>
      <c r="N37" s="9">
        <v>2</v>
      </c>
      <c r="O37" s="5">
        <f t="shared" si="9"/>
        <v>33</v>
      </c>
    </row>
    <row r="38" spans="1:15" ht="26.25" customHeight="1" x14ac:dyDescent="0.25">
      <c r="A38" s="7">
        <f t="shared" si="8"/>
        <v>9.3999999999999986</v>
      </c>
      <c r="B38" s="8" t="s">
        <v>80</v>
      </c>
      <c r="C38" s="9">
        <v>78</v>
      </c>
      <c r="D38" s="9">
        <v>93</v>
      </c>
      <c r="E38" s="9">
        <v>131</v>
      </c>
      <c r="F38" s="9">
        <v>74</v>
      </c>
      <c r="G38" s="9">
        <v>55</v>
      </c>
      <c r="H38" s="9">
        <v>19</v>
      </c>
      <c r="I38" s="9">
        <v>34</v>
      </c>
      <c r="J38" s="37">
        <v>39</v>
      </c>
      <c r="K38" s="37">
        <v>38</v>
      </c>
      <c r="L38" s="38">
        <v>27</v>
      </c>
      <c r="M38" s="37">
        <v>31</v>
      </c>
      <c r="N38" s="9">
        <v>29</v>
      </c>
      <c r="O38" s="5">
        <f t="shared" si="9"/>
        <v>648</v>
      </c>
    </row>
    <row r="39" spans="1:15" ht="26.25" customHeight="1" x14ac:dyDescent="0.25">
      <c r="A39" s="7">
        <f t="shared" si="8"/>
        <v>9.4999999999999982</v>
      </c>
      <c r="B39" s="8" t="s">
        <v>81</v>
      </c>
      <c r="C39" s="9">
        <v>15</v>
      </c>
      <c r="D39" s="9">
        <v>7</v>
      </c>
      <c r="E39" s="9">
        <v>16</v>
      </c>
      <c r="F39" s="9">
        <v>18</v>
      </c>
      <c r="G39" s="9">
        <v>10</v>
      </c>
      <c r="H39" s="9">
        <v>8</v>
      </c>
      <c r="I39" s="9">
        <v>7</v>
      </c>
      <c r="J39" s="37">
        <v>9</v>
      </c>
      <c r="K39" s="37">
        <v>6</v>
      </c>
      <c r="L39" s="38">
        <v>3</v>
      </c>
      <c r="M39" s="37">
        <v>5</v>
      </c>
      <c r="N39" s="9">
        <v>11</v>
      </c>
      <c r="O39" s="5">
        <f t="shared" si="9"/>
        <v>115</v>
      </c>
    </row>
    <row r="40" spans="1:15" ht="26.25" customHeight="1" x14ac:dyDescent="0.25">
      <c r="A40" s="7">
        <f t="shared" si="8"/>
        <v>9.5999999999999979</v>
      </c>
      <c r="B40" s="8" t="s">
        <v>82</v>
      </c>
      <c r="C40" s="9">
        <v>13</v>
      </c>
      <c r="D40" s="9">
        <v>15</v>
      </c>
      <c r="E40" s="9">
        <v>16</v>
      </c>
      <c r="F40" s="9">
        <v>23</v>
      </c>
      <c r="G40" s="9">
        <v>19</v>
      </c>
      <c r="H40" s="9">
        <v>10</v>
      </c>
      <c r="I40" s="9">
        <v>13</v>
      </c>
      <c r="J40" s="37">
        <v>13</v>
      </c>
      <c r="K40" s="37">
        <v>13</v>
      </c>
      <c r="L40" s="38">
        <v>11</v>
      </c>
      <c r="M40" s="37">
        <v>7</v>
      </c>
      <c r="N40" s="9">
        <v>17</v>
      </c>
      <c r="O40" s="5">
        <f t="shared" si="9"/>
        <v>170</v>
      </c>
    </row>
    <row r="41" spans="1:15" ht="26.25" customHeight="1" x14ac:dyDescent="0.25">
      <c r="A41" s="7">
        <f t="shared" si="8"/>
        <v>9.6999999999999975</v>
      </c>
      <c r="B41" s="8" t="s">
        <v>83</v>
      </c>
      <c r="C41" s="9">
        <v>3</v>
      </c>
      <c r="D41" s="9">
        <v>0</v>
      </c>
      <c r="E41" s="9">
        <v>0</v>
      </c>
      <c r="F41" s="9">
        <v>2</v>
      </c>
      <c r="G41" s="9">
        <v>0</v>
      </c>
      <c r="H41" s="9">
        <v>1</v>
      </c>
      <c r="I41" s="9">
        <v>0</v>
      </c>
      <c r="J41" s="37">
        <v>2</v>
      </c>
      <c r="K41" s="37">
        <v>2</v>
      </c>
      <c r="L41" s="38">
        <v>2</v>
      </c>
      <c r="M41" s="37">
        <v>1</v>
      </c>
      <c r="N41" s="9">
        <v>2</v>
      </c>
      <c r="O41" s="5">
        <f t="shared" si="9"/>
        <v>15</v>
      </c>
    </row>
    <row r="42" spans="1:15" ht="26.25" customHeight="1" x14ac:dyDescent="0.25">
      <c r="A42" s="7">
        <f t="shared" si="8"/>
        <v>9.7999999999999972</v>
      </c>
      <c r="B42" s="8" t="s">
        <v>84</v>
      </c>
      <c r="C42" s="9">
        <v>10</v>
      </c>
      <c r="D42" s="9">
        <v>1</v>
      </c>
      <c r="E42" s="9">
        <v>4</v>
      </c>
      <c r="F42" s="9">
        <v>12</v>
      </c>
      <c r="G42" s="9">
        <v>10</v>
      </c>
      <c r="H42" s="9">
        <v>4</v>
      </c>
      <c r="I42" s="9">
        <v>5</v>
      </c>
      <c r="J42" s="37">
        <v>2</v>
      </c>
      <c r="K42" s="37">
        <v>2</v>
      </c>
      <c r="L42" s="38">
        <v>3</v>
      </c>
      <c r="M42" s="37">
        <v>2</v>
      </c>
      <c r="N42" s="9">
        <v>1</v>
      </c>
      <c r="O42" s="5">
        <f t="shared" si="9"/>
        <v>56</v>
      </c>
    </row>
    <row r="43" spans="1:15" ht="26.25" customHeight="1" x14ac:dyDescent="0.25">
      <c r="A43" s="7">
        <f t="shared" si="8"/>
        <v>9.8999999999999968</v>
      </c>
      <c r="B43" s="8" t="s">
        <v>85</v>
      </c>
      <c r="C43" s="9">
        <v>0</v>
      </c>
      <c r="D43" s="9">
        <v>0</v>
      </c>
      <c r="E43" s="9">
        <v>2</v>
      </c>
      <c r="F43" s="9">
        <v>0</v>
      </c>
      <c r="G43" s="9">
        <v>1</v>
      </c>
      <c r="H43" s="9">
        <v>1</v>
      </c>
      <c r="I43" s="9">
        <v>0</v>
      </c>
      <c r="J43" s="37">
        <v>0</v>
      </c>
      <c r="K43" s="37">
        <v>2</v>
      </c>
      <c r="L43" s="38">
        <v>2</v>
      </c>
      <c r="M43" s="37">
        <v>1</v>
      </c>
      <c r="N43" s="9">
        <v>0</v>
      </c>
      <c r="O43" s="5">
        <f t="shared" si="9"/>
        <v>9</v>
      </c>
    </row>
    <row r="44" spans="1:15" ht="26.25" customHeight="1" x14ac:dyDescent="0.25">
      <c r="A44" s="20">
        <v>9.1</v>
      </c>
      <c r="B44" s="8" t="s">
        <v>86</v>
      </c>
      <c r="C44" s="9">
        <v>3</v>
      </c>
      <c r="D44" s="9">
        <v>1</v>
      </c>
      <c r="E44" s="9">
        <v>5</v>
      </c>
      <c r="F44" s="9">
        <v>5</v>
      </c>
      <c r="G44" s="9">
        <v>3</v>
      </c>
      <c r="H44" s="9">
        <v>2</v>
      </c>
      <c r="I44" s="9">
        <v>2</v>
      </c>
      <c r="J44" s="37">
        <v>4</v>
      </c>
      <c r="K44" s="37">
        <v>3</v>
      </c>
      <c r="L44" s="38">
        <v>3</v>
      </c>
      <c r="M44" s="37">
        <v>0</v>
      </c>
      <c r="N44" s="9">
        <v>2</v>
      </c>
      <c r="O44" s="5">
        <f t="shared" si="9"/>
        <v>33</v>
      </c>
    </row>
    <row r="45" spans="1:15" ht="26.25" customHeight="1" x14ac:dyDescent="0.25">
      <c r="A45" s="20">
        <v>9.1199999999999992</v>
      </c>
      <c r="B45" s="8" t="s">
        <v>87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</v>
      </c>
      <c r="J45" s="37">
        <v>1</v>
      </c>
      <c r="K45" s="37">
        <v>0</v>
      </c>
      <c r="L45" s="38">
        <v>2</v>
      </c>
      <c r="M45" s="37">
        <v>0</v>
      </c>
      <c r="N45" s="9">
        <v>0</v>
      </c>
      <c r="O45" s="5">
        <f t="shared" si="9"/>
        <v>6</v>
      </c>
    </row>
    <row r="46" spans="1:15" ht="26.25" customHeight="1" x14ac:dyDescent="0.25">
      <c r="A46" s="20">
        <v>9.1300000000000008</v>
      </c>
      <c r="B46" s="8" t="s">
        <v>88</v>
      </c>
      <c r="C46" s="9">
        <v>3</v>
      </c>
      <c r="D46" s="9">
        <v>0</v>
      </c>
      <c r="E46" s="9">
        <v>5</v>
      </c>
      <c r="F46" s="9">
        <v>0</v>
      </c>
      <c r="G46" s="9">
        <v>0</v>
      </c>
      <c r="H46" s="9">
        <v>0</v>
      </c>
      <c r="I46" s="9">
        <v>1</v>
      </c>
      <c r="J46" s="37">
        <v>0</v>
      </c>
      <c r="K46" s="37">
        <v>1</v>
      </c>
      <c r="L46" s="38">
        <v>1</v>
      </c>
      <c r="M46" s="37">
        <v>2</v>
      </c>
      <c r="N46" s="9">
        <v>0</v>
      </c>
      <c r="O46" s="5">
        <f t="shared" si="9"/>
        <v>13</v>
      </c>
    </row>
    <row r="47" spans="1:15" ht="26.25" customHeight="1" x14ac:dyDescent="0.25">
      <c r="A47" s="20">
        <v>9.14</v>
      </c>
      <c r="B47" s="11" t="s">
        <v>75</v>
      </c>
      <c r="C47" s="5"/>
      <c r="D47" s="5"/>
      <c r="E47" s="5"/>
      <c r="F47" s="5"/>
      <c r="G47" s="5"/>
      <c r="H47" s="5"/>
      <c r="I47" s="5"/>
      <c r="J47" s="5"/>
      <c r="K47" s="5"/>
      <c r="L47" s="37"/>
      <c r="M47" s="5"/>
      <c r="N47" s="5"/>
      <c r="O47" s="5">
        <f t="shared" si="9"/>
        <v>0</v>
      </c>
    </row>
    <row r="48" spans="1:15" ht="30" customHeight="1" x14ac:dyDescent="0.25">
      <c r="A48" s="1">
        <f>+A34+1</f>
        <v>10</v>
      </c>
      <c r="B48" s="1" t="s">
        <v>89</v>
      </c>
      <c r="C48" s="1"/>
      <c r="D48" s="1"/>
      <c r="E48" s="1"/>
      <c r="F48" s="1"/>
      <c r="G48" s="1"/>
      <c r="H48" s="1"/>
      <c r="I48" s="1"/>
      <c r="J48" s="1"/>
      <c r="K48" s="1"/>
      <c r="L48" s="36"/>
      <c r="M48" s="1"/>
      <c r="N48" s="1"/>
      <c r="O48" s="1"/>
    </row>
    <row r="49" spans="1:15" ht="27.75" customHeight="1" x14ac:dyDescent="0.25">
      <c r="A49" s="7">
        <f t="shared" ref="A49:A57" si="10">+A48+0.1</f>
        <v>10.1</v>
      </c>
      <c r="B49" s="8" t="s">
        <v>90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37">
        <v>2</v>
      </c>
      <c r="K49" s="37">
        <v>0</v>
      </c>
      <c r="L49" s="38">
        <v>1</v>
      </c>
      <c r="M49" s="37">
        <v>0</v>
      </c>
      <c r="N49" s="37">
        <v>0</v>
      </c>
      <c r="O49" s="5">
        <f t="shared" ref="O49:O60" si="11">SUM(C49:N49)</f>
        <v>3</v>
      </c>
    </row>
    <row r="50" spans="1:15" ht="27.75" customHeight="1" x14ac:dyDescent="0.25">
      <c r="A50" s="7">
        <f t="shared" si="10"/>
        <v>10.199999999999999</v>
      </c>
      <c r="B50" s="8" t="s">
        <v>91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v>1</v>
      </c>
      <c r="J50" s="37">
        <v>0</v>
      </c>
      <c r="K50" s="37">
        <v>0</v>
      </c>
      <c r="L50" s="38">
        <v>0</v>
      </c>
      <c r="M50" s="37">
        <v>0</v>
      </c>
      <c r="N50" s="37">
        <v>0</v>
      </c>
      <c r="O50" s="5">
        <f t="shared" si="11"/>
        <v>2</v>
      </c>
    </row>
    <row r="51" spans="1:15" ht="27.75" customHeight="1" x14ac:dyDescent="0.25">
      <c r="A51" s="7">
        <f t="shared" si="10"/>
        <v>10.299999999999999</v>
      </c>
      <c r="B51" s="8" t="s">
        <v>92</v>
      </c>
      <c r="C51" s="9">
        <v>25</v>
      </c>
      <c r="D51" s="9">
        <v>53</v>
      </c>
      <c r="E51" s="9">
        <v>17</v>
      </c>
      <c r="F51" s="9">
        <v>21</v>
      </c>
      <c r="G51" s="9">
        <v>21</v>
      </c>
      <c r="H51" s="9">
        <v>15</v>
      </c>
      <c r="I51" s="9">
        <v>27</v>
      </c>
      <c r="J51" s="37">
        <v>26</v>
      </c>
      <c r="K51" s="37">
        <v>19</v>
      </c>
      <c r="L51" s="38">
        <v>8</v>
      </c>
      <c r="M51" s="37">
        <v>29</v>
      </c>
      <c r="N51" s="37">
        <v>17</v>
      </c>
      <c r="O51" s="5">
        <f t="shared" si="11"/>
        <v>278</v>
      </c>
    </row>
    <row r="52" spans="1:15" ht="27.75" customHeight="1" x14ac:dyDescent="0.25">
      <c r="A52" s="7">
        <f t="shared" si="10"/>
        <v>10.399999999999999</v>
      </c>
      <c r="B52" s="8" t="s">
        <v>93</v>
      </c>
      <c r="C52" s="9">
        <v>0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37">
        <v>0</v>
      </c>
      <c r="K52" s="37">
        <v>0</v>
      </c>
      <c r="L52" s="38">
        <v>0</v>
      </c>
      <c r="M52" s="37">
        <v>0</v>
      </c>
      <c r="N52" s="37">
        <v>0</v>
      </c>
      <c r="O52" s="5">
        <f t="shared" si="11"/>
        <v>1</v>
      </c>
    </row>
    <row r="53" spans="1:15" ht="27.75" customHeight="1" x14ac:dyDescent="0.25">
      <c r="A53" s="7">
        <f t="shared" si="10"/>
        <v>10.499999999999998</v>
      </c>
      <c r="B53" s="8" t="s">
        <v>94</v>
      </c>
      <c r="C53" s="9">
        <v>6</v>
      </c>
      <c r="D53" s="9">
        <v>1</v>
      </c>
      <c r="E53" s="9">
        <v>9</v>
      </c>
      <c r="F53" s="9">
        <v>10</v>
      </c>
      <c r="G53" s="9">
        <v>8</v>
      </c>
      <c r="H53" s="9">
        <v>10</v>
      </c>
      <c r="I53" s="9">
        <v>6</v>
      </c>
      <c r="J53" s="37">
        <v>2</v>
      </c>
      <c r="K53" s="37">
        <v>1</v>
      </c>
      <c r="L53" s="38">
        <v>5</v>
      </c>
      <c r="M53" s="37">
        <v>11</v>
      </c>
      <c r="N53" s="37">
        <v>9</v>
      </c>
      <c r="O53" s="5">
        <f t="shared" si="11"/>
        <v>78</v>
      </c>
    </row>
    <row r="54" spans="1:15" ht="27.75" customHeight="1" x14ac:dyDescent="0.25">
      <c r="A54" s="7">
        <f t="shared" si="10"/>
        <v>10.599999999999998</v>
      </c>
      <c r="B54" s="8" t="s">
        <v>95</v>
      </c>
      <c r="C54" s="9">
        <v>0</v>
      </c>
      <c r="D54" s="9">
        <v>2</v>
      </c>
      <c r="E54" s="9">
        <v>0</v>
      </c>
      <c r="F54" s="9">
        <v>0</v>
      </c>
      <c r="G54" s="9">
        <v>1</v>
      </c>
      <c r="H54" s="9">
        <v>1</v>
      </c>
      <c r="I54" s="9">
        <v>1</v>
      </c>
      <c r="J54" s="37">
        <v>1</v>
      </c>
      <c r="K54" s="37">
        <v>0</v>
      </c>
      <c r="L54" s="38">
        <v>1</v>
      </c>
      <c r="M54" s="37">
        <v>1</v>
      </c>
      <c r="N54" s="37">
        <v>0</v>
      </c>
      <c r="O54" s="5">
        <f t="shared" si="11"/>
        <v>8</v>
      </c>
    </row>
    <row r="55" spans="1:15" ht="27.75" customHeight="1" x14ac:dyDescent="0.25">
      <c r="A55" s="7">
        <f t="shared" si="10"/>
        <v>10.699999999999998</v>
      </c>
      <c r="B55" s="8" t="s">
        <v>96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37">
        <v>0</v>
      </c>
      <c r="K55" s="37">
        <v>0</v>
      </c>
      <c r="L55" s="38">
        <v>0</v>
      </c>
      <c r="M55" s="37">
        <v>0</v>
      </c>
      <c r="N55" s="37">
        <v>0</v>
      </c>
      <c r="O55" s="5">
        <f t="shared" si="11"/>
        <v>0</v>
      </c>
    </row>
    <row r="56" spans="1:15" ht="32.25" customHeight="1" x14ac:dyDescent="0.25">
      <c r="A56" s="7">
        <f t="shared" si="10"/>
        <v>10.799999999999997</v>
      </c>
      <c r="B56" s="8" t="s">
        <v>97</v>
      </c>
      <c r="C56" s="9">
        <v>15</v>
      </c>
      <c r="D56" s="9">
        <v>16</v>
      </c>
      <c r="E56" s="9">
        <v>20</v>
      </c>
      <c r="F56" s="9">
        <v>12</v>
      </c>
      <c r="G56" s="9">
        <v>14</v>
      </c>
      <c r="H56" s="9">
        <v>25</v>
      </c>
      <c r="I56" s="9">
        <v>30</v>
      </c>
      <c r="J56" s="37">
        <v>16</v>
      </c>
      <c r="K56" s="37">
        <v>17</v>
      </c>
      <c r="L56" s="38">
        <v>10</v>
      </c>
      <c r="M56" s="37">
        <v>11</v>
      </c>
      <c r="N56" s="37">
        <v>8</v>
      </c>
      <c r="O56" s="5">
        <f t="shared" si="11"/>
        <v>194</v>
      </c>
    </row>
    <row r="57" spans="1:15" ht="28.5" customHeight="1" x14ac:dyDescent="0.25">
      <c r="A57" s="7">
        <f t="shared" si="10"/>
        <v>10.899999999999997</v>
      </c>
      <c r="B57" s="8" t="s">
        <v>98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37">
        <v>0</v>
      </c>
      <c r="K57" s="37">
        <v>0</v>
      </c>
      <c r="L57" s="38">
        <v>6</v>
      </c>
      <c r="M57" s="37">
        <v>6</v>
      </c>
      <c r="N57" s="37">
        <v>0</v>
      </c>
      <c r="O57" s="5">
        <f t="shared" si="11"/>
        <v>12</v>
      </c>
    </row>
    <row r="58" spans="1:15" ht="28.5" customHeight="1" x14ac:dyDescent="0.25">
      <c r="A58" s="20">
        <v>10.1</v>
      </c>
      <c r="B58" s="8" t="s">
        <v>99</v>
      </c>
      <c r="C58" s="9">
        <v>6</v>
      </c>
      <c r="D58" s="9">
        <v>3</v>
      </c>
      <c r="E58" s="9">
        <v>4</v>
      </c>
      <c r="F58" s="9">
        <v>1</v>
      </c>
      <c r="G58" s="9">
        <v>4</v>
      </c>
      <c r="H58" s="9">
        <v>1</v>
      </c>
      <c r="I58" s="9">
        <v>4</v>
      </c>
      <c r="J58" s="37">
        <v>8</v>
      </c>
      <c r="K58" s="37">
        <v>7</v>
      </c>
      <c r="L58" s="38">
        <v>1</v>
      </c>
      <c r="M58" s="37">
        <v>8</v>
      </c>
      <c r="N58" s="37">
        <v>9</v>
      </c>
      <c r="O58" s="5">
        <f t="shared" si="11"/>
        <v>56</v>
      </c>
    </row>
    <row r="59" spans="1:15" ht="28.5" customHeight="1" x14ac:dyDescent="0.25">
      <c r="A59" s="20">
        <v>10.11</v>
      </c>
      <c r="B59" s="8" t="s">
        <v>100</v>
      </c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4">
        <v>0</v>
      </c>
      <c r="J59" s="37">
        <v>0</v>
      </c>
      <c r="K59" s="37">
        <v>0</v>
      </c>
      <c r="L59" s="38">
        <v>15</v>
      </c>
      <c r="M59" s="37">
        <v>0</v>
      </c>
      <c r="N59" s="37">
        <v>0</v>
      </c>
      <c r="O59" s="5">
        <f t="shared" si="11"/>
        <v>16</v>
      </c>
    </row>
    <row r="60" spans="1:15" ht="32.25" customHeight="1" x14ac:dyDescent="0.25">
      <c r="A60" s="20">
        <v>10.119999999999999</v>
      </c>
      <c r="B60" s="11" t="s">
        <v>75</v>
      </c>
      <c r="C60" s="5"/>
      <c r="D60" s="5"/>
      <c r="E60" s="5"/>
      <c r="F60" s="5"/>
      <c r="G60" s="5"/>
      <c r="H60" s="5"/>
      <c r="I60" s="5"/>
      <c r="J60" s="5"/>
      <c r="K60" s="5"/>
      <c r="L60" s="37"/>
      <c r="M60" s="5"/>
      <c r="N60" s="5"/>
      <c r="O60" s="5">
        <f t="shared" si="11"/>
        <v>0</v>
      </c>
    </row>
    <row r="61" spans="1:15" ht="30" customHeight="1" x14ac:dyDescent="0.25">
      <c r="A61" s="1">
        <f>+A48+1</f>
        <v>11</v>
      </c>
      <c r="B61" s="1" t="s">
        <v>101</v>
      </c>
      <c r="C61" s="1"/>
      <c r="D61" s="1"/>
      <c r="E61" s="1"/>
      <c r="F61" s="1"/>
      <c r="G61" s="1"/>
      <c r="H61" s="1"/>
      <c r="I61" s="1"/>
      <c r="J61" s="1"/>
      <c r="K61" s="1"/>
      <c r="L61" s="36"/>
      <c r="M61" s="1"/>
      <c r="N61" s="1"/>
      <c r="O61" s="1"/>
    </row>
    <row r="62" spans="1:15" ht="33" customHeight="1" x14ac:dyDescent="0.25">
      <c r="A62" s="7">
        <f t="shared" ref="A62:A70" si="12">+A61+0.1</f>
        <v>11.1</v>
      </c>
      <c r="B62" s="8" t="s">
        <v>102</v>
      </c>
      <c r="C62" s="9">
        <v>0</v>
      </c>
      <c r="D62" s="9">
        <v>1</v>
      </c>
      <c r="E62" s="9">
        <v>4</v>
      </c>
      <c r="F62" s="9">
        <v>0</v>
      </c>
      <c r="G62" s="9">
        <v>0</v>
      </c>
      <c r="H62" s="9">
        <v>2</v>
      </c>
      <c r="I62" s="9">
        <v>1</v>
      </c>
      <c r="J62" s="37">
        <v>0</v>
      </c>
      <c r="K62" s="37">
        <v>2</v>
      </c>
      <c r="L62" s="38">
        <v>1</v>
      </c>
      <c r="M62" s="37">
        <v>0</v>
      </c>
      <c r="N62" s="37">
        <v>1</v>
      </c>
      <c r="O62" s="5">
        <f t="shared" ref="O62:O93" si="13">SUM(C62:N62)</f>
        <v>12</v>
      </c>
    </row>
    <row r="63" spans="1:15" ht="28.5" customHeight="1" x14ac:dyDescent="0.25">
      <c r="A63" s="7">
        <f t="shared" si="12"/>
        <v>11.2</v>
      </c>
      <c r="B63" s="8" t="s">
        <v>103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37">
        <v>0</v>
      </c>
      <c r="K63" s="37">
        <v>0</v>
      </c>
      <c r="L63" s="38">
        <v>0</v>
      </c>
      <c r="M63" s="37">
        <v>0</v>
      </c>
      <c r="N63" s="37">
        <v>0</v>
      </c>
      <c r="O63" s="5">
        <f t="shared" si="13"/>
        <v>0</v>
      </c>
    </row>
    <row r="64" spans="1:15" ht="28.5" customHeight="1" x14ac:dyDescent="0.25">
      <c r="A64" s="7">
        <f t="shared" si="12"/>
        <v>11.299999999999999</v>
      </c>
      <c r="B64" s="8" t="s">
        <v>104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37">
        <v>0</v>
      </c>
      <c r="K64" s="37">
        <v>0</v>
      </c>
      <c r="L64" s="38">
        <v>1</v>
      </c>
      <c r="M64" s="37">
        <v>3</v>
      </c>
      <c r="N64" s="37">
        <v>3</v>
      </c>
      <c r="O64" s="5">
        <f t="shared" si="13"/>
        <v>7</v>
      </c>
    </row>
    <row r="65" spans="1:15" ht="33" customHeight="1" x14ac:dyDescent="0.25">
      <c r="A65" s="7">
        <f t="shared" si="12"/>
        <v>11.399999999999999</v>
      </c>
      <c r="B65" s="8" t="s">
        <v>105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1</v>
      </c>
      <c r="J65" s="37">
        <v>0</v>
      </c>
      <c r="K65" s="37">
        <v>1</v>
      </c>
      <c r="L65" s="38">
        <v>0</v>
      </c>
      <c r="M65" s="37">
        <v>3</v>
      </c>
      <c r="N65" s="37">
        <v>3</v>
      </c>
      <c r="O65" s="5">
        <f t="shared" si="13"/>
        <v>8</v>
      </c>
    </row>
    <row r="66" spans="1:15" ht="33" customHeight="1" x14ac:dyDescent="0.25">
      <c r="A66" s="7">
        <f t="shared" si="12"/>
        <v>11.499999999999998</v>
      </c>
      <c r="B66" s="8" t="s">
        <v>106</v>
      </c>
      <c r="C66" s="9">
        <v>2</v>
      </c>
      <c r="D66" s="9">
        <v>6</v>
      </c>
      <c r="E66" s="9">
        <v>5</v>
      </c>
      <c r="F66" s="9">
        <v>2</v>
      </c>
      <c r="G66" s="9">
        <v>3</v>
      </c>
      <c r="H66" s="9">
        <v>1</v>
      </c>
      <c r="I66" s="9">
        <v>6</v>
      </c>
      <c r="J66" s="37">
        <v>3</v>
      </c>
      <c r="K66" s="37">
        <v>1</v>
      </c>
      <c r="L66" s="38">
        <v>4</v>
      </c>
      <c r="M66" s="37">
        <v>1</v>
      </c>
      <c r="N66" s="37">
        <v>6</v>
      </c>
      <c r="O66" s="5">
        <f t="shared" si="13"/>
        <v>40</v>
      </c>
    </row>
    <row r="67" spans="1:15" ht="33" customHeight="1" x14ac:dyDescent="0.25">
      <c r="A67" s="7">
        <f t="shared" si="12"/>
        <v>11.599999999999998</v>
      </c>
      <c r="B67" s="8" t="s">
        <v>107</v>
      </c>
      <c r="C67" s="9">
        <v>2</v>
      </c>
      <c r="D67" s="9">
        <v>3</v>
      </c>
      <c r="E67" s="9">
        <v>2</v>
      </c>
      <c r="F67" s="9">
        <v>2</v>
      </c>
      <c r="G67" s="9">
        <v>2</v>
      </c>
      <c r="H67" s="9">
        <v>4</v>
      </c>
      <c r="I67" s="9">
        <v>1</v>
      </c>
      <c r="J67" s="37">
        <v>3</v>
      </c>
      <c r="K67" s="37">
        <v>7</v>
      </c>
      <c r="L67" s="38">
        <v>0</v>
      </c>
      <c r="M67" s="37">
        <v>2</v>
      </c>
      <c r="N67" s="37">
        <v>3</v>
      </c>
      <c r="O67" s="5">
        <f t="shared" si="13"/>
        <v>31</v>
      </c>
    </row>
    <row r="68" spans="1:15" ht="27" customHeight="1" x14ac:dyDescent="0.25">
      <c r="A68" s="7">
        <f t="shared" si="12"/>
        <v>11.699999999999998</v>
      </c>
      <c r="B68" s="8" t="s">
        <v>108</v>
      </c>
      <c r="C68" s="9">
        <v>37</v>
      </c>
      <c r="D68" s="9">
        <v>27</v>
      </c>
      <c r="E68" s="9">
        <v>30</v>
      </c>
      <c r="F68" s="9">
        <v>25</v>
      </c>
      <c r="G68" s="9">
        <v>22</v>
      </c>
      <c r="H68" s="9">
        <v>21</v>
      </c>
      <c r="I68" s="9">
        <v>21</v>
      </c>
      <c r="J68" s="37">
        <v>22</v>
      </c>
      <c r="K68" s="37">
        <v>19</v>
      </c>
      <c r="L68" s="38">
        <v>25</v>
      </c>
      <c r="M68" s="37">
        <v>21</v>
      </c>
      <c r="N68" s="37">
        <v>22</v>
      </c>
      <c r="O68" s="5">
        <f t="shared" si="13"/>
        <v>292</v>
      </c>
    </row>
    <row r="69" spans="1:15" ht="27" customHeight="1" x14ac:dyDescent="0.25">
      <c r="A69" s="7">
        <f t="shared" si="12"/>
        <v>11.799999999999997</v>
      </c>
      <c r="B69" s="8" t="s">
        <v>109</v>
      </c>
      <c r="C69" s="9">
        <v>21</v>
      </c>
      <c r="D69" s="9">
        <v>18</v>
      </c>
      <c r="E69" s="9">
        <v>13</v>
      </c>
      <c r="F69" s="9">
        <v>24</v>
      </c>
      <c r="G69" s="9">
        <v>10</v>
      </c>
      <c r="H69" s="9">
        <v>26</v>
      </c>
      <c r="I69" s="9">
        <v>16</v>
      </c>
      <c r="J69" s="37">
        <v>17</v>
      </c>
      <c r="K69" s="37">
        <v>7</v>
      </c>
      <c r="L69" s="38">
        <v>15</v>
      </c>
      <c r="M69" s="37">
        <v>17</v>
      </c>
      <c r="N69" s="37">
        <v>28</v>
      </c>
      <c r="O69" s="5">
        <f t="shared" si="13"/>
        <v>212</v>
      </c>
    </row>
    <row r="70" spans="1:15" ht="27" customHeight="1" x14ac:dyDescent="0.25">
      <c r="A70" s="7">
        <f t="shared" si="12"/>
        <v>11.899999999999997</v>
      </c>
      <c r="B70" s="8" t="s">
        <v>110</v>
      </c>
      <c r="C70" s="9">
        <v>0</v>
      </c>
      <c r="D70" s="9">
        <v>0</v>
      </c>
      <c r="E70" s="9">
        <v>2</v>
      </c>
      <c r="F70" s="9">
        <v>2</v>
      </c>
      <c r="G70" s="9">
        <v>3</v>
      </c>
      <c r="H70" s="9">
        <v>5</v>
      </c>
      <c r="I70" s="9">
        <v>1</v>
      </c>
      <c r="J70" s="37">
        <v>0</v>
      </c>
      <c r="K70" s="37">
        <v>0</v>
      </c>
      <c r="L70" s="38">
        <v>5</v>
      </c>
      <c r="M70" s="37">
        <v>3</v>
      </c>
      <c r="N70" s="37">
        <v>4</v>
      </c>
      <c r="O70" s="5">
        <f t="shared" si="13"/>
        <v>25</v>
      </c>
    </row>
    <row r="71" spans="1:15" ht="27" customHeight="1" x14ac:dyDescent="0.25">
      <c r="A71" s="20">
        <v>11.1</v>
      </c>
      <c r="B71" s="8" t="s">
        <v>111</v>
      </c>
      <c r="C71" s="9">
        <v>12</v>
      </c>
      <c r="D71" s="9">
        <v>10</v>
      </c>
      <c r="E71" s="9">
        <v>15</v>
      </c>
      <c r="F71" s="9">
        <v>13</v>
      </c>
      <c r="G71" s="9">
        <v>25</v>
      </c>
      <c r="H71" s="9">
        <v>31</v>
      </c>
      <c r="I71" s="9">
        <v>13</v>
      </c>
      <c r="J71" s="37">
        <v>9</v>
      </c>
      <c r="K71" s="37">
        <v>11</v>
      </c>
      <c r="L71" s="38">
        <v>20</v>
      </c>
      <c r="M71" s="37">
        <v>17</v>
      </c>
      <c r="N71" s="37">
        <v>8</v>
      </c>
      <c r="O71" s="5">
        <f t="shared" si="13"/>
        <v>184</v>
      </c>
    </row>
    <row r="72" spans="1:15" ht="27" customHeight="1" x14ac:dyDescent="0.25">
      <c r="A72" s="20">
        <v>11.11</v>
      </c>
      <c r="B72" s="8" t="s">
        <v>112</v>
      </c>
      <c r="C72" s="9">
        <v>1</v>
      </c>
      <c r="D72" s="9">
        <v>2</v>
      </c>
      <c r="E72" s="9">
        <v>2</v>
      </c>
      <c r="F72" s="9">
        <v>1</v>
      </c>
      <c r="G72" s="9">
        <v>2</v>
      </c>
      <c r="H72" s="9">
        <v>2</v>
      </c>
      <c r="I72" s="9">
        <v>3</v>
      </c>
      <c r="J72" s="37">
        <v>1</v>
      </c>
      <c r="K72" s="37">
        <v>5</v>
      </c>
      <c r="L72" s="38">
        <v>7</v>
      </c>
      <c r="M72" s="37">
        <v>2</v>
      </c>
      <c r="N72" s="37">
        <v>3</v>
      </c>
      <c r="O72" s="5">
        <f t="shared" si="13"/>
        <v>31</v>
      </c>
    </row>
    <row r="73" spans="1:15" ht="27" customHeight="1" x14ac:dyDescent="0.25">
      <c r="A73" s="20">
        <v>11.12</v>
      </c>
      <c r="B73" s="8" t="s">
        <v>113</v>
      </c>
      <c r="C73" s="9">
        <v>8</v>
      </c>
      <c r="D73" s="9">
        <v>1</v>
      </c>
      <c r="E73" s="9">
        <v>4</v>
      </c>
      <c r="F73" s="9">
        <v>2</v>
      </c>
      <c r="G73" s="9">
        <v>7</v>
      </c>
      <c r="H73" s="9">
        <v>5</v>
      </c>
      <c r="I73" s="9">
        <v>1</v>
      </c>
      <c r="J73" s="37">
        <v>4</v>
      </c>
      <c r="K73" s="37">
        <v>4</v>
      </c>
      <c r="L73" s="38">
        <v>3</v>
      </c>
      <c r="M73" s="37">
        <v>1</v>
      </c>
      <c r="N73" s="37">
        <v>1</v>
      </c>
      <c r="O73" s="5">
        <f t="shared" si="13"/>
        <v>41</v>
      </c>
    </row>
    <row r="74" spans="1:15" ht="27" customHeight="1" x14ac:dyDescent="0.25">
      <c r="A74" s="20">
        <v>11.13</v>
      </c>
      <c r="B74" s="8" t="s">
        <v>114</v>
      </c>
      <c r="C74" s="9">
        <v>15</v>
      </c>
      <c r="D74" s="9">
        <v>19</v>
      </c>
      <c r="E74" s="9">
        <v>5</v>
      </c>
      <c r="F74" s="9">
        <v>9</v>
      </c>
      <c r="G74" s="9">
        <v>10</v>
      </c>
      <c r="H74" s="9">
        <v>13</v>
      </c>
      <c r="I74" s="9">
        <v>6</v>
      </c>
      <c r="J74" s="37">
        <v>11</v>
      </c>
      <c r="K74" s="37">
        <v>13</v>
      </c>
      <c r="L74" s="38">
        <v>14</v>
      </c>
      <c r="M74" s="37">
        <v>8</v>
      </c>
      <c r="N74" s="37">
        <v>2</v>
      </c>
      <c r="O74" s="5">
        <f t="shared" si="13"/>
        <v>125</v>
      </c>
    </row>
    <row r="75" spans="1:15" ht="27" customHeight="1" x14ac:dyDescent="0.25">
      <c r="A75" s="20">
        <v>11.14</v>
      </c>
      <c r="B75" s="8" t="s">
        <v>115</v>
      </c>
      <c r="C75" s="9">
        <v>37</v>
      </c>
      <c r="D75" s="9">
        <v>38</v>
      </c>
      <c r="E75" s="9">
        <v>40</v>
      </c>
      <c r="F75" s="9">
        <v>48</v>
      </c>
      <c r="G75" s="9">
        <v>50</v>
      </c>
      <c r="H75" s="9">
        <v>61</v>
      </c>
      <c r="I75" s="9">
        <v>68</v>
      </c>
      <c r="J75" s="37">
        <v>62</v>
      </c>
      <c r="K75" s="37">
        <v>48</v>
      </c>
      <c r="L75" s="38">
        <v>55</v>
      </c>
      <c r="M75" s="37">
        <v>42</v>
      </c>
      <c r="N75" s="37">
        <v>29</v>
      </c>
      <c r="O75" s="5">
        <f t="shared" si="13"/>
        <v>578</v>
      </c>
    </row>
    <row r="76" spans="1:15" ht="27" customHeight="1" x14ac:dyDescent="0.25">
      <c r="A76" s="20">
        <v>11.15</v>
      </c>
      <c r="B76" s="8" t="s">
        <v>116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37">
        <v>0</v>
      </c>
      <c r="K76" s="37">
        <v>0</v>
      </c>
      <c r="L76" s="38">
        <v>1</v>
      </c>
      <c r="M76" s="37">
        <v>0</v>
      </c>
      <c r="N76" s="37">
        <v>0</v>
      </c>
      <c r="O76" s="5">
        <f t="shared" si="13"/>
        <v>1</v>
      </c>
    </row>
    <row r="77" spans="1:15" ht="27" customHeight="1" x14ac:dyDescent="0.25">
      <c r="A77" s="20">
        <v>11.16</v>
      </c>
      <c r="B77" s="8" t="s">
        <v>117</v>
      </c>
      <c r="C77" s="9">
        <v>16</v>
      </c>
      <c r="D77" s="9">
        <v>23</v>
      </c>
      <c r="E77" s="9">
        <v>18</v>
      </c>
      <c r="F77" s="9">
        <v>19</v>
      </c>
      <c r="G77" s="9">
        <v>27</v>
      </c>
      <c r="H77" s="9">
        <v>19</v>
      </c>
      <c r="I77" s="9">
        <v>18</v>
      </c>
      <c r="J77" s="37">
        <v>17</v>
      </c>
      <c r="K77" s="37">
        <v>12</v>
      </c>
      <c r="L77" s="38">
        <v>24</v>
      </c>
      <c r="M77" s="37">
        <v>15</v>
      </c>
      <c r="N77" s="37">
        <v>15</v>
      </c>
      <c r="O77" s="5">
        <f t="shared" si="13"/>
        <v>223</v>
      </c>
    </row>
    <row r="78" spans="1:15" ht="27" customHeight="1" x14ac:dyDescent="0.25">
      <c r="A78" s="20">
        <f t="shared" ref="A78:A93" si="14">+A77+0.01</f>
        <v>11.17</v>
      </c>
      <c r="B78" s="8" t="s">
        <v>118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37">
        <v>0</v>
      </c>
      <c r="K78" s="37">
        <v>0</v>
      </c>
      <c r="L78" s="38">
        <v>0</v>
      </c>
      <c r="M78" s="37">
        <v>0</v>
      </c>
      <c r="N78" s="37">
        <v>0</v>
      </c>
      <c r="O78" s="5">
        <f t="shared" si="13"/>
        <v>0</v>
      </c>
    </row>
    <row r="79" spans="1:15" ht="27" customHeight="1" x14ac:dyDescent="0.25">
      <c r="A79" s="20">
        <f t="shared" si="14"/>
        <v>11.18</v>
      </c>
      <c r="B79" s="8" t="s">
        <v>119</v>
      </c>
      <c r="C79" s="9">
        <v>2</v>
      </c>
      <c r="D79" s="9">
        <v>0</v>
      </c>
      <c r="E79" s="9">
        <v>0</v>
      </c>
      <c r="F79" s="9">
        <v>2</v>
      </c>
      <c r="G79" s="9">
        <v>3</v>
      </c>
      <c r="H79" s="9">
        <v>2</v>
      </c>
      <c r="I79" s="9">
        <v>2</v>
      </c>
      <c r="J79" s="37">
        <v>0</v>
      </c>
      <c r="K79" s="37">
        <v>2</v>
      </c>
      <c r="L79" s="38">
        <v>3</v>
      </c>
      <c r="M79" s="37">
        <v>0</v>
      </c>
      <c r="N79" s="37">
        <v>1</v>
      </c>
      <c r="O79" s="5">
        <f t="shared" si="13"/>
        <v>17</v>
      </c>
    </row>
    <row r="80" spans="1:15" ht="27" customHeight="1" x14ac:dyDescent="0.25">
      <c r="A80" s="20">
        <f t="shared" si="14"/>
        <v>11.19</v>
      </c>
      <c r="B80" s="8" t="s">
        <v>120</v>
      </c>
      <c r="C80" s="9">
        <v>25</v>
      </c>
      <c r="D80" s="9">
        <v>70</v>
      </c>
      <c r="E80" s="9">
        <v>65</v>
      </c>
      <c r="F80" s="9">
        <v>38</v>
      </c>
      <c r="G80" s="9">
        <v>38</v>
      </c>
      <c r="H80" s="9">
        <v>34</v>
      </c>
      <c r="I80" s="9">
        <v>67</v>
      </c>
      <c r="J80" s="37">
        <v>79</v>
      </c>
      <c r="K80" s="37">
        <v>46</v>
      </c>
      <c r="L80" s="38">
        <v>50</v>
      </c>
      <c r="M80" s="37">
        <v>93</v>
      </c>
      <c r="N80" s="37">
        <v>62</v>
      </c>
      <c r="O80" s="5">
        <f t="shared" si="13"/>
        <v>667</v>
      </c>
    </row>
    <row r="81" spans="1:15" ht="33" customHeight="1" x14ac:dyDescent="0.25">
      <c r="A81" s="20">
        <f t="shared" si="14"/>
        <v>11.2</v>
      </c>
      <c r="B81" s="8" t="s">
        <v>121</v>
      </c>
      <c r="C81" s="9">
        <v>0</v>
      </c>
      <c r="D81" s="9">
        <v>0</v>
      </c>
      <c r="E81" s="9">
        <v>2</v>
      </c>
      <c r="F81" s="9">
        <v>0</v>
      </c>
      <c r="G81" s="9">
        <v>6</v>
      </c>
      <c r="H81" s="9">
        <v>4</v>
      </c>
      <c r="I81" s="9">
        <v>2</v>
      </c>
      <c r="J81" s="37">
        <v>3</v>
      </c>
      <c r="K81" s="37">
        <v>3</v>
      </c>
      <c r="L81" s="38">
        <v>4</v>
      </c>
      <c r="M81" s="37">
        <v>1</v>
      </c>
      <c r="N81" s="37">
        <v>0</v>
      </c>
      <c r="O81" s="5">
        <f t="shared" si="13"/>
        <v>25</v>
      </c>
    </row>
    <row r="82" spans="1:15" ht="28.5" customHeight="1" x14ac:dyDescent="0.25">
      <c r="A82" s="20">
        <f t="shared" si="14"/>
        <v>11.209999999999999</v>
      </c>
      <c r="B82" s="8" t="s">
        <v>122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37">
        <v>0</v>
      </c>
      <c r="K82" s="37">
        <v>0</v>
      </c>
      <c r="L82" s="38">
        <v>0</v>
      </c>
      <c r="M82" s="37">
        <v>0</v>
      </c>
      <c r="N82" s="37">
        <v>0</v>
      </c>
      <c r="O82" s="5">
        <f t="shared" si="13"/>
        <v>0</v>
      </c>
    </row>
    <row r="83" spans="1:15" ht="28.5" customHeight="1" x14ac:dyDescent="0.25">
      <c r="A83" s="20">
        <f t="shared" si="14"/>
        <v>11.219999999999999</v>
      </c>
      <c r="B83" s="8" t="s">
        <v>123</v>
      </c>
      <c r="C83" s="9">
        <v>2</v>
      </c>
      <c r="D83" s="9">
        <v>2</v>
      </c>
      <c r="E83" s="9">
        <v>3</v>
      </c>
      <c r="F83" s="9">
        <v>0</v>
      </c>
      <c r="G83" s="9">
        <v>1</v>
      </c>
      <c r="H83" s="9">
        <v>4</v>
      </c>
      <c r="I83" s="9">
        <v>2</v>
      </c>
      <c r="J83" s="37">
        <v>2</v>
      </c>
      <c r="K83" s="37">
        <v>2</v>
      </c>
      <c r="L83" s="38">
        <v>1</v>
      </c>
      <c r="M83" s="37">
        <v>0</v>
      </c>
      <c r="N83" s="37">
        <v>1</v>
      </c>
      <c r="O83" s="5">
        <f t="shared" si="13"/>
        <v>20</v>
      </c>
    </row>
    <row r="84" spans="1:15" ht="28.5" customHeight="1" x14ac:dyDescent="0.25">
      <c r="A84" s="20">
        <f t="shared" si="14"/>
        <v>11.229999999999999</v>
      </c>
      <c r="B84" s="8" t="s">
        <v>124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5">
        <f t="shared" si="13"/>
        <v>0</v>
      </c>
    </row>
    <row r="85" spans="1:15" ht="28.5" customHeight="1" x14ac:dyDescent="0.25">
      <c r="A85" s="20">
        <f t="shared" si="14"/>
        <v>11.239999999999998</v>
      </c>
      <c r="B85" s="8" t="s">
        <v>125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>
        <v>1</v>
      </c>
      <c r="J85" s="37">
        <v>1</v>
      </c>
      <c r="K85" s="37">
        <v>0</v>
      </c>
      <c r="L85" s="38">
        <v>1</v>
      </c>
      <c r="M85" s="37">
        <v>4</v>
      </c>
      <c r="N85" s="37">
        <v>2</v>
      </c>
      <c r="O85" s="5">
        <f t="shared" si="13"/>
        <v>12</v>
      </c>
    </row>
    <row r="86" spans="1:15" ht="33" customHeight="1" x14ac:dyDescent="0.25">
      <c r="A86" s="20">
        <f t="shared" si="14"/>
        <v>11.249999999999998</v>
      </c>
      <c r="B86" s="8" t="s">
        <v>126</v>
      </c>
      <c r="C86" s="9">
        <v>32</v>
      </c>
      <c r="D86" s="9">
        <v>13</v>
      </c>
      <c r="E86" s="9">
        <v>27</v>
      </c>
      <c r="F86" s="9">
        <v>33</v>
      </c>
      <c r="G86" s="9">
        <v>43</v>
      </c>
      <c r="H86" s="9">
        <v>40</v>
      </c>
      <c r="I86" s="9">
        <v>44</v>
      </c>
      <c r="J86" s="37">
        <v>17</v>
      </c>
      <c r="K86" s="37">
        <v>19</v>
      </c>
      <c r="L86" s="38">
        <v>35</v>
      </c>
      <c r="M86" s="37">
        <v>22</v>
      </c>
      <c r="N86" s="37">
        <v>22</v>
      </c>
      <c r="O86" s="5">
        <f t="shared" si="13"/>
        <v>347</v>
      </c>
    </row>
    <row r="87" spans="1:15" ht="28.5" customHeight="1" x14ac:dyDescent="0.25">
      <c r="A87" s="20">
        <f t="shared" si="14"/>
        <v>11.259999999999998</v>
      </c>
      <c r="B87" s="8" t="s">
        <v>127</v>
      </c>
      <c r="C87" s="9">
        <v>0</v>
      </c>
      <c r="D87" s="9">
        <v>0</v>
      </c>
      <c r="E87" s="9">
        <v>0</v>
      </c>
      <c r="F87" s="9">
        <v>0</v>
      </c>
      <c r="G87" s="9">
        <v>2</v>
      </c>
      <c r="H87" s="9">
        <v>0</v>
      </c>
      <c r="I87" s="9">
        <v>3</v>
      </c>
      <c r="J87" s="37">
        <v>0</v>
      </c>
      <c r="K87" s="37">
        <v>1</v>
      </c>
      <c r="L87" s="38">
        <v>2</v>
      </c>
      <c r="M87" s="37">
        <v>3</v>
      </c>
      <c r="N87" s="37">
        <v>1</v>
      </c>
      <c r="O87" s="5">
        <f t="shared" si="13"/>
        <v>12</v>
      </c>
    </row>
    <row r="88" spans="1:15" ht="28.5" customHeight="1" x14ac:dyDescent="0.25">
      <c r="A88" s="20">
        <f t="shared" si="14"/>
        <v>11.269999999999998</v>
      </c>
      <c r="B88" s="8" t="s">
        <v>128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37">
        <v>0</v>
      </c>
      <c r="K88" s="37">
        <v>0</v>
      </c>
      <c r="L88" s="38">
        <v>0</v>
      </c>
      <c r="M88" s="37">
        <v>0</v>
      </c>
      <c r="N88" s="37">
        <v>0</v>
      </c>
      <c r="O88" s="5">
        <f t="shared" si="13"/>
        <v>0</v>
      </c>
    </row>
    <row r="89" spans="1:15" ht="28.5" customHeight="1" x14ac:dyDescent="0.25">
      <c r="A89" s="20">
        <f t="shared" si="14"/>
        <v>11.279999999999998</v>
      </c>
      <c r="B89" s="8" t="s">
        <v>129</v>
      </c>
      <c r="C89" s="9">
        <v>0</v>
      </c>
      <c r="D89" s="9">
        <v>0</v>
      </c>
      <c r="E89" s="9">
        <v>0</v>
      </c>
      <c r="F89" s="9">
        <v>0</v>
      </c>
      <c r="G89" s="9">
        <v>2</v>
      </c>
      <c r="H89" s="9">
        <v>0</v>
      </c>
      <c r="I89" s="9">
        <v>0</v>
      </c>
      <c r="J89" s="37">
        <v>0</v>
      </c>
      <c r="K89" s="37">
        <v>0</v>
      </c>
      <c r="L89" s="38">
        <v>2</v>
      </c>
      <c r="M89" s="37">
        <v>1</v>
      </c>
      <c r="N89" s="37">
        <v>0</v>
      </c>
      <c r="O89" s="5">
        <f t="shared" si="13"/>
        <v>5</v>
      </c>
    </row>
    <row r="90" spans="1:15" ht="28.5" customHeight="1" x14ac:dyDescent="0.25">
      <c r="A90" s="20">
        <f t="shared" si="14"/>
        <v>11.289999999999997</v>
      </c>
      <c r="B90" s="8" t="s">
        <v>130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37">
        <v>0</v>
      </c>
      <c r="K90" s="37">
        <v>0</v>
      </c>
      <c r="L90" s="38">
        <v>0</v>
      </c>
      <c r="M90" s="37">
        <v>0</v>
      </c>
      <c r="N90" s="37">
        <v>0</v>
      </c>
      <c r="O90" s="5">
        <f t="shared" si="13"/>
        <v>0</v>
      </c>
    </row>
    <row r="91" spans="1:15" ht="28.5" customHeight="1" x14ac:dyDescent="0.25">
      <c r="A91" s="20">
        <f t="shared" si="14"/>
        <v>11.299999999999997</v>
      </c>
      <c r="B91" s="8" t="s">
        <v>131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37">
        <v>0</v>
      </c>
      <c r="K91" s="37">
        <v>0</v>
      </c>
      <c r="L91" s="38">
        <v>0</v>
      </c>
      <c r="M91" s="37">
        <v>0</v>
      </c>
      <c r="N91" s="37">
        <v>0</v>
      </c>
      <c r="O91" s="5">
        <f t="shared" si="13"/>
        <v>0</v>
      </c>
    </row>
    <row r="92" spans="1:15" ht="28.5" customHeight="1" x14ac:dyDescent="0.25">
      <c r="A92" s="20">
        <f t="shared" si="14"/>
        <v>11.309999999999997</v>
      </c>
      <c r="B92" s="8" t="s">
        <v>132</v>
      </c>
      <c r="C92" s="9">
        <v>0</v>
      </c>
      <c r="D92" s="4">
        <v>0</v>
      </c>
      <c r="E92" s="9">
        <v>0</v>
      </c>
      <c r="F92" s="4">
        <v>0</v>
      </c>
      <c r="G92" s="9">
        <v>0</v>
      </c>
      <c r="H92" s="9">
        <v>9</v>
      </c>
      <c r="I92" s="9">
        <v>6</v>
      </c>
      <c r="J92" s="37">
        <v>3</v>
      </c>
      <c r="K92" s="37">
        <v>1</v>
      </c>
      <c r="L92" s="38">
        <v>2</v>
      </c>
      <c r="M92" s="37">
        <v>4</v>
      </c>
      <c r="N92" s="37">
        <v>2</v>
      </c>
      <c r="O92" s="5">
        <f t="shared" si="13"/>
        <v>27</v>
      </c>
    </row>
    <row r="93" spans="1:15" ht="28.5" customHeight="1" x14ac:dyDescent="0.25">
      <c r="A93" s="21">
        <f t="shared" si="14"/>
        <v>11.319999999999997</v>
      </c>
      <c r="B93" s="11" t="s">
        <v>75</v>
      </c>
      <c r="C93" s="5"/>
      <c r="D93" s="5"/>
      <c r="E93" s="5"/>
      <c r="F93" s="5"/>
      <c r="G93" s="5"/>
      <c r="H93" s="5"/>
      <c r="I93" s="5"/>
      <c r="J93" s="5"/>
      <c r="K93" s="5"/>
      <c r="L93" s="37"/>
      <c r="M93" s="5"/>
      <c r="N93" s="5"/>
      <c r="O93" s="5">
        <f t="shared" si="13"/>
        <v>0</v>
      </c>
    </row>
    <row r="94" spans="1:15" ht="30" customHeight="1" x14ac:dyDescent="0.25">
      <c r="A94" s="1">
        <f>+A61+1</f>
        <v>12</v>
      </c>
      <c r="B94" s="1" t="s">
        <v>133</v>
      </c>
      <c r="C94" s="1"/>
      <c r="D94" s="1"/>
      <c r="E94" s="1"/>
      <c r="F94" s="1"/>
      <c r="G94" s="1"/>
      <c r="H94" s="1"/>
      <c r="I94" s="1"/>
      <c r="J94" s="1"/>
      <c r="K94" s="1"/>
      <c r="L94" s="36"/>
      <c r="M94" s="1"/>
      <c r="N94" s="1"/>
      <c r="O94" s="1"/>
    </row>
    <row r="95" spans="1:15" ht="33" customHeight="1" x14ac:dyDescent="0.25">
      <c r="A95" s="7">
        <f t="shared" ref="A95:A98" si="15">+A94+0.1</f>
        <v>12.1</v>
      </c>
      <c r="B95" s="8" t="s">
        <v>134</v>
      </c>
      <c r="C95" s="9">
        <v>132</v>
      </c>
      <c r="D95" s="9">
        <v>156</v>
      </c>
      <c r="E95" s="9">
        <v>192</v>
      </c>
      <c r="F95" s="39">
        <v>134</v>
      </c>
      <c r="G95" s="39">
        <v>147</v>
      </c>
      <c r="H95" s="9">
        <v>118</v>
      </c>
      <c r="I95" s="9">
        <v>362</v>
      </c>
      <c r="J95" s="40">
        <v>286</v>
      </c>
      <c r="K95" s="4">
        <v>272</v>
      </c>
      <c r="L95" s="35">
        <v>101</v>
      </c>
      <c r="M95" s="39">
        <v>498</v>
      </c>
      <c r="N95" s="9">
        <v>330</v>
      </c>
      <c r="O95" s="5">
        <f t="shared" ref="O95:O98" si="16">SUM(C95:N95)</f>
        <v>2728</v>
      </c>
    </row>
    <row r="96" spans="1:15" ht="33" customHeight="1" x14ac:dyDescent="0.25">
      <c r="A96" s="7">
        <f t="shared" si="15"/>
        <v>12.2</v>
      </c>
      <c r="B96" s="8" t="s">
        <v>135</v>
      </c>
      <c r="C96" s="4">
        <v>31</v>
      </c>
      <c r="D96" s="9">
        <v>28</v>
      </c>
      <c r="E96" s="9">
        <v>31</v>
      </c>
      <c r="F96" s="9">
        <v>30</v>
      </c>
      <c r="G96" s="9">
        <v>31</v>
      </c>
      <c r="H96" s="9">
        <v>30</v>
      </c>
      <c r="I96" s="9">
        <v>31</v>
      </c>
      <c r="J96" s="9">
        <v>31</v>
      </c>
      <c r="K96" s="4">
        <v>30</v>
      </c>
      <c r="L96" s="35">
        <v>31</v>
      </c>
      <c r="M96" s="9">
        <v>30</v>
      </c>
      <c r="N96" s="9">
        <v>31</v>
      </c>
      <c r="O96" s="5">
        <f t="shared" si="16"/>
        <v>365</v>
      </c>
    </row>
    <row r="97" spans="1:15" ht="33" customHeight="1" x14ac:dyDescent="0.25">
      <c r="A97" s="7">
        <f t="shared" si="15"/>
        <v>12.299999999999999</v>
      </c>
      <c r="B97" s="8" t="s">
        <v>136</v>
      </c>
      <c r="C97" s="4">
        <v>4</v>
      </c>
      <c r="D97" s="9">
        <v>12</v>
      </c>
      <c r="E97" s="9">
        <v>5</v>
      </c>
      <c r="F97" s="9">
        <v>4</v>
      </c>
      <c r="G97" s="9">
        <v>5</v>
      </c>
      <c r="H97" s="9">
        <v>5</v>
      </c>
      <c r="I97" s="9">
        <v>4</v>
      </c>
      <c r="J97" s="9">
        <v>2</v>
      </c>
      <c r="K97" s="4">
        <v>2</v>
      </c>
      <c r="L97" s="35">
        <v>3</v>
      </c>
      <c r="M97" s="9">
        <v>2</v>
      </c>
      <c r="N97" s="9">
        <v>3</v>
      </c>
      <c r="O97" s="5">
        <f t="shared" si="16"/>
        <v>51</v>
      </c>
    </row>
    <row r="98" spans="1:15" ht="33" customHeight="1" x14ac:dyDescent="0.25">
      <c r="A98" s="7">
        <f t="shared" si="15"/>
        <v>12.399999999999999</v>
      </c>
      <c r="B98" s="11" t="s">
        <v>75</v>
      </c>
      <c r="C98" s="5"/>
      <c r="D98" s="5"/>
      <c r="E98" s="5"/>
      <c r="F98" s="5"/>
      <c r="G98" s="5"/>
      <c r="H98" s="5"/>
      <c r="I98" s="5"/>
      <c r="J98" s="5"/>
      <c r="K98" s="5"/>
      <c r="L98" s="37"/>
      <c r="M98" s="5"/>
      <c r="N98" s="5"/>
      <c r="O98" s="5">
        <f t="shared" si="16"/>
        <v>0</v>
      </c>
    </row>
    <row r="99" spans="1:15" ht="30" customHeight="1" x14ac:dyDescent="0.25">
      <c r="A99" s="1">
        <f>+A94+1</f>
        <v>13</v>
      </c>
      <c r="B99" s="1" t="s">
        <v>137</v>
      </c>
      <c r="C99" s="1"/>
      <c r="D99" s="1"/>
      <c r="E99" s="1"/>
      <c r="F99" s="1"/>
      <c r="G99" s="1"/>
      <c r="H99" s="1"/>
      <c r="I99" s="1"/>
      <c r="J99" s="1"/>
      <c r="K99" s="1"/>
      <c r="L99" s="36"/>
      <c r="M99" s="1"/>
      <c r="N99" s="1"/>
      <c r="O99" s="1"/>
    </row>
    <row r="100" spans="1:15" ht="33" customHeight="1" x14ac:dyDescent="0.25">
      <c r="A100" s="7">
        <f t="shared" ref="A100:A106" si="17">+A99+0.1</f>
        <v>13.1</v>
      </c>
      <c r="B100" s="8" t="s">
        <v>138</v>
      </c>
      <c r="C100" s="9">
        <v>0</v>
      </c>
      <c r="D100" s="9">
        <v>1</v>
      </c>
      <c r="E100" s="9">
        <v>1</v>
      </c>
      <c r="F100" s="9">
        <v>53</v>
      </c>
      <c r="G100" s="9">
        <v>2</v>
      </c>
      <c r="H100" s="9">
        <v>6</v>
      </c>
      <c r="I100" s="9">
        <v>3</v>
      </c>
      <c r="J100" s="37">
        <v>0</v>
      </c>
      <c r="K100" s="37">
        <v>3</v>
      </c>
      <c r="L100" s="38">
        <v>10</v>
      </c>
      <c r="M100" s="37">
        <v>26</v>
      </c>
      <c r="N100" s="9">
        <v>19</v>
      </c>
      <c r="O100" s="5">
        <f t="shared" ref="O100:O106" si="18">SUM(C100:N100)</f>
        <v>124</v>
      </c>
    </row>
    <row r="101" spans="1:15" ht="33" customHeight="1" x14ac:dyDescent="0.25">
      <c r="A101" s="7">
        <f t="shared" si="17"/>
        <v>13.2</v>
      </c>
      <c r="B101" s="8" t="s">
        <v>139</v>
      </c>
      <c r="C101" s="9">
        <v>13</v>
      </c>
      <c r="D101" s="9">
        <v>11</v>
      </c>
      <c r="E101" s="9">
        <v>10</v>
      </c>
      <c r="F101" s="9">
        <v>11</v>
      </c>
      <c r="G101" s="9">
        <v>16</v>
      </c>
      <c r="H101" s="9">
        <v>16</v>
      </c>
      <c r="I101" s="9">
        <v>16</v>
      </c>
      <c r="J101" s="37">
        <v>7</v>
      </c>
      <c r="K101" s="37">
        <v>5</v>
      </c>
      <c r="L101" s="38">
        <v>13</v>
      </c>
      <c r="M101" s="37">
        <v>4</v>
      </c>
      <c r="N101" s="9">
        <v>3</v>
      </c>
      <c r="O101" s="5">
        <f t="shared" si="18"/>
        <v>125</v>
      </c>
    </row>
    <row r="102" spans="1:15" ht="33" customHeight="1" x14ac:dyDescent="0.25">
      <c r="A102" s="7">
        <f t="shared" si="17"/>
        <v>13.299999999999999</v>
      </c>
      <c r="B102" s="8" t="s">
        <v>140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37">
        <v>0</v>
      </c>
      <c r="K102" s="37">
        <v>0</v>
      </c>
      <c r="L102" s="38">
        <v>0</v>
      </c>
      <c r="M102" s="37">
        <v>0</v>
      </c>
      <c r="N102" s="9">
        <v>0</v>
      </c>
      <c r="O102" s="5">
        <f t="shared" si="18"/>
        <v>0</v>
      </c>
    </row>
    <row r="103" spans="1:15" ht="33" customHeight="1" x14ac:dyDescent="0.25">
      <c r="A103" s="7">
        <f t="shared" si="17"/>
        <v>13.399999999999999</v>
      </c>
      <c r="B103" s="8" t="s">
        <v>141</v>
      </c>
      <c r="C103" s="9">
        <v>0</v>
      </c>
      <c r="D103" s="9">
        <v>0</v>
      </c>
      <c r="E103" s="9">
        <v>0</v>
      </c>
      <c r="F103" s="9">
        <v>0</v>
      </c>
      <c r="G103" s="9">
        <v>4</v>
      </c>
      <c r="H103" s="9">
        <v>0</v>
      </c>
      <c r="I103" s="9">
        <v>0</v>
      </c>
      <c r="J103" s="37">
        <v>0</v>
      </c>
      <c r="K103" s="37">
        <v>0</v>
      </c>
      <c r="L103" s="38">
        <v>2</v>
      </c>
      <c r="M103" s="37">
        <v>3</v>
      </c>
      <c r="N103" s="9">
        <v>0</v>
      </c>
      <c r="O103" s="5">
        <f t="shared" si="18"/>
        <v>9</v>
      </c>
    </row>
    <row r="104" spans="1:15" ht="33" customHeight="1" x14ac:dyDescent="0.25">
      <c r="A104" s="7">
        <f t="shared" si="17"/>
        <v>13.499999999999998</v>
      </c>
      <c r="B104" s="8" t="s">
        <v>142</v>
      </c>
      <c r="C104" s="9">
        <v>0</v>
      </c>
      <c r="D104" s="9">
        <v>13</v>
      </c>
      <c r="E104" s="9">
        <v>0</v>
      </c>
      <c r="F104" s="9">
        <v>0</v>
      </c>
      <c r="G104" s="9">
        <v>0</v>
      </c>
      <c r="H104" s="9">
        <v>14</v>
      </c>
      <c r="I104" s="9">
        <v>18</v>
      </c>
      <c r="J104" s="37">
        <v>2</v>
      </c>
      <c r="K104" s="37">
        <v>5</v>
      </c>
      <c r="L104" s="38">
        <v>0</v>
      </c>
      <c r="M104" s="37">
        <v>3</v>
      </c>
      <c r="N104" s="9">
        <v>3</v>
      </c>
      <c r="O104" s="5">
        <f t="shared" si="18"/>
        <v>58</v>
      </c>
    </row>
    <row r="105" spans="1:15" ht="33" customHeight="1" x14ac:dyDescent="0.25">
      <c r="A105" s="7">
        <f t="shared" si="17"/>
        <v>13.599999999999998</v>
      </c>
      <c r="B105" s="8" t="s">
        <v>143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37">
        <v>0</v>
      </c>
      <c r="K105" s="37">
        <v>0</v>
      </c>
      <c r="L105" s="38">
        <v>0</v>
      </c>
      <c r="M105" s="37">
        <v>0</v>
      </c>
      <c r="N105" s="9">
        <v>0</v>
      </c>
      <c r="O105" s="5">
        <f t="shared" si="18"/>
        <v>0</v>
      </c>
    </row>
    <row r="106" spans="1:15" ht="33" customHeight="1" x14ac:dyDescent="0.25">
      <c r="A106" s="7">
        <f t="shared" si="17"/>
        <v>13.699999999999998</v>
      </c>
      <c r="B106" s="11" t="s">
        <v>75</v>
      </c>
      <c r="C106" s="5"/>
      <c r="D106" s="5"/>
      <c r="E106" s="5"/>
      <c r="F106" s="5"/>
      <c r="G106" s="5"/>
      <c r="H106" s="5"/>
      <c r="I106" s="5"/>
      <c r="J106" s="5"/>
      <c r="K106" s="5"/>
      <c r="L106" s="37"/>
      <c r="M106" s="5"/>
      <c r="N106" s="5"/>
      <c r="O106" s="5">
        <f t="shared" si="18"/>
        <v>0</v>
      </c>
    </row>
    <row r="107" spans="1:15" ht="30" customHeight="1" x14ac:dyDescent="0.25">
      <c r="A107" s="1">
        <f>+A99+1</f>
        <v>14</v>
      </c>
      <c r="B107" s="1" t="s">
        <v>144</v>
      </c>
      <c r="C107" s="1"/>
      <c r="D107" s="1"/>
      <c r="E107" s="1"/>
      <c r="F107" s="1"/>
      <c r="G107" s="1"/>
      <c r="H107" s="1"/>
      <c r="I107" s="1"/>
      <c r="J107" s="1"/>
      <c r="K107" s="1"/>
      <c r="L107" s="36"/>
      <c r="M107" s="1"/>
      <c r="N107" s="1"/>
      <c r="O107" s="1"/>
    </row>
    <row r="108" spans="1:15" ht="33" customHeight="1" x14ac:dyDescent="0.25">
      <c r="A108" s="7">
        <f t="shared" ref="A108:A116" si="19">+A107+0.1</f>
        <v>14.1</v>
      </c>
      <c r="B108" s="8" t="s">
        <v>145</v>
      </c>
      <c r="C108" s="9">
        <v>1</v>
      </c>
      <c r="D108" s="9">
        <v>0</v>
      </c>
      <c r="E108" s="9">
        <v>0</v>
      </c>
      <c r="F108" s="9">
        <v>0</v>
      </c>
      <c r="G108" s="9">
        <v>1</v>
      </c>
      <c r="H108" s="9">
        <v>3</v>
      </c>
      <c r="I108" s="9">
        <v>0</v>
      </c>
      <c r="J108" s="37">
        <v>0</v>
      </c>
      <c r="K108" s="37">
        <v>0</v>
      </c>
      <c r="L108" s="38">
        <v>2</v>
      </c>
      <c r="M108" s="37">
        <v>2</v>
      </c>
      <c r="N108" s="9">
        <v>0</v>
      </c>
      <c r="O108" s="5">
        <f t="shared" ref="O108:O117" si="20">SUM(C108:N108)</f>
        <v>9</v>
      </c>
    </row>
    <row r="109" spans="1:15" ht="33" customHeight="1" x14ac:dyDescent="0.25">
      <c r="A109" s="7">
        <f t="shared" si="19"/>
        <v>14.2</v>
      </c>
      <c r="B109" s="8" t="s">
        <v>146</v>
      </c>
      <c r="C109" s="9">
        <v>12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37">
        <v>0</v>
      </c>
      <c r="K109" s="37">
        <v>0</v>
      </c>
      <c r="L109" s="38">
        <v>0</v>
      </c>
      <c r="M109" s="37">
        <v>1</v>
      </c>
      <c r="N109" s="9">
        <v>0</v>
      </c>
      <c r="O109" s="5">
        <f t="shared" si="20"/>
        <v>13</v>
      </c>
    </row>
    <row r="110" spans="1:15" ht="33" customHeight="1" x14ac:dyDescent="0.25">
      <c r="A110" s="7">
        <f t="shared" si="19"/>
        <v>14.299999999999999</v>
      </c>
      <c r="B110" s="8" t="s">
        <v>147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37">
        <v>0</v>
      </c>
      <c r="K110" s="37">
        <v>0</v>
      </c>
      <c r="L110" s="38">
        <v>0</v>
      </c>
      <c r="M110" s="37">
        <v>0</v>
      </c>
      <c r="N110" s="9">
        <v>0</v>
      </c>
      <c r="O110" s="5">
        <f t="shared" si="20"/>
        <v>0</v>
      </c>
    </row>
    <row r="111" spans="1:15" ht="33" customHeight="1" x14ac:dyDescent="0.25">
      <c r="A111" s="7">
        <f t="shared" si="19"/>
        <v>14.399999999999999</v>
      </c>
      <c r="B111" s="8" t="s">
        <v>148</v>
      </c>
      <c r="C111" s="9">
        <v>0</v>
      </c>
      <c r="D111" s="9">
        <v>0</v>
      </c>
      <c r="E111" s="9">
        <v>0</v>
      </c>
      <c r="F111" s="9">
        <v>0</v>
      </c>
      <c r="G111" s="9">
        <v>2</v>
      </c>
      <c r="H111" s="9">
        <v>1</v>
      </c>
      <c r="I111" s="9">
        <v>1</v>
      </c>
      <c r="J111" s="37">
        <v>0</v>
      </c>
      <c r="K111" s="37">
        <v>0</v>
      </c>
      <c r="L111" s="38">
        <v>0</v>
      </c>
      <c r="M111" s="37">
        <v>0</v>
      </c>
      <c r="N111" s="9">
        <v>0</v>
      </c>
      <c r="O111" s="5">
        <f t="shared" si="20"/>
        <v>4</v>
      </c>
    </row>
    <row r="112" spans="1:15" ht="33" customHeight="1" x14ac:dyDescent="0.25">
      <c r="A112" s="7">
        <f t="shared" si="19"/>
        <v>14.499999999999998</v>
      </c>
      <c r="B112" s="8" t="s">
        <v>149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37">
        <v>0</v>
      </c>
      <c r="K112" s="37">
        <v>0</v>
      </c>
      <c r="L112" s="38">
        <v>0</v>
      </c>
      <c r="M112" s="37">
        <v>0</v>
      </c>
      <c r="N112" s="9">
        <v>0</v>
      </c>
      <c r="O112" s="5">
        <f t="shared" si="20"/>
        <v>0</v>
      </c>
    </row>
    <row r="113" spans="1:15" ht="33" customHeight="1" x14ac:dyDescent="0.25">
      <c r="A113" s="7">
        <f t="shared" si="19"/>
        <v>14.599999999999998</v>
      </c>
      <c r="B113" s="8" t="s">
        <v>150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2</v>
      </c>
      <c r="I113" s="9">
        <v>0</v>
      </c>
      <c r="J113" s="37">
        <v>0</v>
      </c>
      <c r="K113" s="37">
        <v>1</v>
      </c>
      <c r="L113" s="38">
        <v>0</v>
      </c>
      <c r="M113" s="37">
        <v>0</v>
      </c>
      <c r="N113" s="9">
        <v>0</v>
      </c>
      <c r="O113" s="5">
        <f t="shared" si="20"/>
        <v>3</v>
      </c>
    </row>
    <row r="114" spans="1:15" ht="33" customHeight="1" x14ac:dyDescent="0.25">
      <c r="A114" s="7">
        <f t="shared" si="19"/>
        <v>14.699999999999998</v>
      </c>
      <c r="B114" s="8" t="s">
        <v>151</v>
      </c>
      <c r="C114" s="4">
        <v>0</v>
      </c>
      <c r="D114" s="4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37">
        <v>0</v>
      </c>
      <c r="K114" s="37">
        <v>0</v>
      </c>
      <c r="L114" s="38">
        <v>0</v>
      </c>
      <c r="M114" s="37">
        <v>0</v>
      </c>
      <c r="N114" s="9">
        <v>0</v>
      </c>
      <c r="O114" s="5">
        <f t="shared" si="20"/>
        <v>0</v>
      </c>
    </row>
    <row r="115" spans="1:15" ht="33" customHeight="1" x14ac:dyDescent="0.25">
      <c r="A115" s="7">
        <f t="shared" si="19"/>
        <v>14.799999999999997</v>
      </c>
      <c r="B115" s="8" t="s">
        <v>152</v>
      </c>
      <c r="C115" s="4">
        <v>10</v>
      </c>
      <c r="D115" s="4">
        <v>54</v>
      </c>
      <c r="E115" s="9">
        <v>1</v>
      </c>
      <c r="F115" s="9">
        <v>0</v>
      </c>
      <c r="G115" s="9">
        <v>1</v>
      </c>
      <c r="H115" s="9">
        <v>0</v>
      </c>
      <c r="I115" s="9">
        <v>1</v>
      </c>
      <c r="J115" s="37">
        <v>0</v>
      </c>
      <c r="K115" s="37">
        <v>0</v>
      </c>
      <c r="L115" s="38">
        <v>0</v>
      </c>
      <c r="M115" s="37">
        <v>4</v>
      </c>
      <c r="N115" s="9">
        <v>1</v>
      </c>
      <c r="O115" s="5">
        <f t="shared" si="20"/>
        <v>72</v>
      </c>
    </row>
    <row r="116" spans="1:15" ht="33" customHeight="1" x14ac:dyDescent="0.25">
      <c r="A116" s="7">
        <f t="shared" si="19"/>
        <v>14.899999999999997</v>
      </c>
      <c r="B116" s="8" t="s">
        <v>153</v>
      </c>
      <c r="C116" s="4">
        <v>0</v>
      </c>
      <c r="D116" s="4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37">
        <v>0</v>
      </c>
      <c r="K116" s="37">
        <v>0</v>
      </c>
      <c r="L116" s="38">
        <v>0</v>
      </c>
      <c r="M116" s="37">
        <v>0</v>
      </c>
      <c r="N116" s="9">
        <v>0</v>
      </c>
      <c r="O116" s="5">
        <f t="shared" si="20"/>
        <v>0</v>
      </c>
    </row>
    <row r="117" spans="1:15" ht="33" customHeight="1" x14ac:dyDescent="0.25">
      <c r="A117" s="20">
        <v>14.1</v>
      </c>
      <c r="B117" s="8" t="s">
        <v>154</v>
      </c>
      <c r="C117" s="4">
        <v>25</v>
      </c>
      <c r="D117" s="4">
        <v>236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37">
        <v>0</v>
      </c>
      <c r="L117" s="38">
        <v>0</v>
      </c>
      <c r="M117" s="9">
        <v>219</v>
      </c>
      <c r="N117" s="39">
        <v>482</v>
      </c>
      <c r="O117" s="5">
        <f t="shared" si="20"/>
        <v>962</v>
      </c>
    </row>
    <row r="118" spans="1:15" ht="30" customHeight="1" x14ac:dyDescent="0.25">
      <c r="A118" s="1">
        <f>+A107+1</f>
        <v>15</v>
      </c>
      <c r="B118" s="1" t="s">
        <v>155</v>
      </c>
      <c r="C118" s="1"/>
      <c r="D118" s="1"/>
      <c r="E118" s="1"/>
      <c r="F118" s="1"/>
      <c r="G118" s="1"/>
      <c r="H118" s="1"/>
      <c r="I118" s="1"/>
      <c r="J118" s="1"/>
      <c r="K118" s="1"/>
      <c r="L118" s="36"/>
      <c r="M118" s="1"/>
      <c r="N118" s="1"/>
      <c r="O118" s="1"/>
    </row>
    <row r="119" spans="1:15" ht="33" customHeight="1" x14ac:dyDescent="0.25">
      <c r="A119" s="7">
        <f t="shared" ref="A119:A122" si="21">+A118+0.1</f>
        <v>15.1</v>
      </c>
      <c r="B119" s="8" t="s">
        <v>156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38">
        <v>0</v>
      </c>
      <c r="M119" s="9">
        <v>0</v>
      </c>
      <c r="N119" s="9">
        <v>0</v>
      </c>
      <c r="O119" s="5">
        <f t="shared" ref="O119:O122" si="22">SUM(C119:N119)</f>
        <v>0</v>
      </c>
    </row>
    <row r="120" spans="1:15" ht="33" customHeight="1" x14ac:dyDescent="0.25">
      <c r="A120" s="7">
        <f t="shared" si="21"/>
        <v>15.2</v>
      </c>
      <c r="B120" s="8" t="s">
        <v>272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38">
        <v>0</v>
      </c>
      <c r="M120" s="9">
        <v>0</v>
      </c>
      <c r="N120" s="9">
        <v>0</v>
      </c>
      <c r="O120" s="5">
        <f t="shared" si="22"/>
        <v>0</v>
      </c>
    </row>
    <row r="121" spans="1:15" ht="33" customHeight="1" x14ac:dyDescent="0.25">
      <c r="A121" s="7">
        <f t="shared" si="21"/>
        <v>15.299999999999999</v>
      </c>
      <c r="B121" s="8" t="s">
        <v>157</v>
      </c>
      <c r="C121" s="9">
        <v>31</v>
      </c>
      <c r="D121" s="9">
        <v>47</v>
      </c>
      <c r="E121" s="9">
        <v>69</v>
      </c>
      <c r="F121" s="4">
        <v>36</v>
      </c>
      <c r="G121" s="9">
        <v>56</v>
      </c>
      <c r="H121" s="9">
        <v>55</v>
      </c>
      <c r="I121" s="9">
        <v>49</v>
      </c>
      <c r="J121" s="9">
        <v>126</v>
      </c>
      <c r="K121" s="9">
        <v>55</v>
      </c>
      <c r="L121" s="38">
        <v>12</v>
      </c>
      <c r="M121" s="9">
        <v>59</v>
      </c>
      <c r="N121" s="9">
        <v>44</v>
      </c>
      <c r="O121" s="5">
        <f t="shared" si="22"/>
        <v>639</v>
      </c>
    </row>
    <row r="122" spans="1:15" ht="33" customHeight="1" x14ac:dyDescent="0.25">
      <c r="A122" s="7">
        <f t="shared" si="21"/>
        <v>15.399999999999999</v>
      </c>
      <c r="B122" s="8" t="s">
        <v>158</v>
      </c>
      <c r="C122" s="14">
        <v>110772</v>
      </c>
      <c r="D122" s="14">
        <v>179414.1</v>
      </c>
      <c r="E122" s="14">
        <v>265723.3</v>
      </c>
      <c r="F122" s="22">
        <v>122779.4</v>
      </c>
      <c r="G122" s="14">
        <v>213743.7</v>
      </c>
      <c r="H122" s="14">
        <v>191338.7</v>
      </c>
      <c r="I122" s="14">
        <v>182824.8</v>
      </c>
      <c r="J122" s="14">
        <v>433760.8</v>
      </c>
      <c r="K122" s="14">
        <v>203885.5</v>
      </c>
      <c r="L122" s="49" t="s">
        <v>273</v>
      </c>
      <c r="M122" s="14">
        <v>194426.3</v>
      </c>
      <c r="N122" s="14">
        <v>138496</v>
      </c>
      <c r="O122" s="15">
        <f t="shared" si="22"/>
        <v>2237164.6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B3D7"/>
    <pageSetUpPr fitToPage="1"/>
  </sheetPr>
  <dimension ref="A1:O100"/>
  <sheetViews>
    <sheetView topLeftCell="A10" zoomScale="70" zoomScaleNormal="70" workbookViewId="0">
      <selection activeCell="L24" sqref="L24"/>
    </sheetView>
  </sheetViews>
  <sheetFormatPr baseColWidth="10" defaultColWidth="14.42578125" defaultRowHeight="15" customHeight="1" x14ac:dyDescent="0.25"/>
  <cols>
    <col min="1" max="1" width="8.42578125" customWidth="1"/>
    <col min="2" max="2" width="30.140625" customWidth="1"/>
    <col min="3" max="10" width="14.28515625" customWidth="1"/>
    <col min="11" max="11" width="17.42578125" customWidth="1"/>
    <col min="12" max="12" width="14.28515625" customWidth="1"/>
    <col min="13" max="13" width="17.28515625" customWidth="1"/>
    <col min="14" max="14" width="16.42578125" customWidth="1"/>
    <col min="15" max="15" width="14.4257812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30" customHeight="1" x14ac:dyDescent="0.25">
      <c r="A5" s="1">
        <v>1</v>
      </c>
      <c r="B5" s="1" t="s">
        <v>159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0" si="0">+A5+0.1</f>
        <v>1.1000000000000001</v>
      </c>
      <c r="B6" s="3" t="s">
        <v>160</v>
      </c>
      <c r="C6" s="4">
        <v>937</v>
      </c>
      <c r="D6" s="4">
        <v>1149</v>
      </c>
      <c r="E6" s="4">
        <v>1271</v>
      </c>
      <c r="F6" s="4">
        <v>911</v>
      </c>
      <c r="G6" s="4">
        <v>1856</v>
      </c>
      <c r="H6" s="4">
        <v>1582</v>
      </c>
      <c r="I6" s="23">
        <v>1479</v>
      </c>
      <c r="J6" s="4">
        <v>1057</v>
      </c>
      <c r="K6" s="4">
        <v>1004</v>
      </c>
      <c r="L6" s="4">
        <v>1297</v>
      </c>
      <c r="M6" s="4">
        <v>2806</v>
      </c>
      <c r="N6" s="4">
        <v>1866</v>
      </c>
      <c r="O6" s="5">
        <f t="shared" ref="O6:O10" si="1">SUM(C6:N6)</f>
        <v>17215</v>
      </c>
    </row>
    <row r="7" spans="1:15" ht="33" customHeight="1" x14ac:dyDescent="0.25">
      <c r="A7" s="10">
        <f t="shared" si="0"/>
        <v>1.2000000000000002</v>
      </c>
      <c r="B7" s="3" t="s">
        <v>161</v>
      </c>
      <c r="C7" s="4">
        <v>95</v>
      </c>
      <c r="D7" s="4">
        <v>242</v>
      </c>
      <c r="E7" s="4">
        <v>174</v>
      </c>
      <c r="F7" s="4">
        <v>32</v>
      </c>
      <c r="G7" s="4">
        <v>56</v>
      </c>
      <c r="H7" s="4">
        <v>74</v>
      </c>
      <c r="I7" s="4">
        <v>54</v>
      </c>
      <c r="J7" s="4">
        <v>38</v>
      </c>
      <c r="K7" s="4">
        <v>54</v>
      </c>
      <c r="L7" s="4">
        <v>60</v>
      </c>
      <c r="M7" s="4">
        <v>42</v>
      </c>
      <c r="N7" s="4">
        <v>36</v>
      </c>
      <c r="O7" s="5">
        <f t="shared" si="1"/>
        <v>957</v>
      </c>
    </row>
    <row r="8" spans="1:15" ht="33" customHeight="1" x14ac:dyDescent="0.25">
      <c r="A8" s="10">
        <f t="shared" si="0"/>
        <v>1.3000000000000003</v>
      </c>
      <c r="B8" s="3" t="s">
        <v>162</v>
      </c>
      <c r="C8" s="4">
        <v>842</v>
      </c>
      <c r="D8" s="4">
        <v>907</v>
      </c>
      <c r="E8" s="4">
        <v>1097</v>
      </c>
      <c r="F8" s="4">
        <v>879</v>
      </c>
      <c r="G8" s="4">
        <v>1800</v>
      </c>
      <c r="H8" s="4">
        <v>1508</v>
      </c>
      <c r="I8" s="4">
        <v>1425</v>
      </c>
      <c r="J8" s="4">
        <v>1019</v>
      </c>
      <c r="K8" s="4">
        <v>950</v>
      </c>
      <c r="L8" s="4">
        <v>1237</v>
      </c>
      <c r="M8" s="4">
        <v>2764</v>
      </c>
      <c r="N8" s="4">
        <v>1830</v>
      </c>
      <c r="O8" s="5">
        <f t="shared" si="1"/>
        <v>16258</v>
      </c>
    </row>
    <row r="9" spans="1:15" ht="33" customHeight="1" x14ac:dyDescent="0.25">
      <c r="A9" s="10">
        <f t="shared" si="0"/>
        <v>1.4000000000000004</v>
      </c>
      <c r="B9" s="3" t="s">
        <v>163</v>
      </c>
      <c r="C9" s="4">
        <v>11554.85</v>
      </c>
      <c r="D9" s="4">
        <v>30486.78</v>
      </c>
      <c r="E9" s="4">
        <v>21830.04</v>
      </c>
      <c r="F9" s="4">
        <v>4014.72</v>
      </c>
      <c r="G9" s="4">
        <v>7025.76</v>
      </c>
      <c r="H9" s="4">
        <v>9284.0400000000009</v>
      </c>
      <c r="I9" s="4">
        <v>6774.84</v>
      </c>
      <c r="J9" s="4">
        <v>4767.4799999999996</v>
      </c>
      <c r="K9" s="4">
        <v>6774.84</v>
      </c>
      <c r="L9" s="4">
        <v>7527.6</v>
      </c>
      <c r="M9" s="4">
        <v>5269.32</v>
      </c>
      <c r="N9" s="4">
        <v>4516</v>
      </c>
      <c r="O9" s="5">
        <f t="shared" si="1"/>
        <v>119826.26999999999</v>
      </c>
    </row>
    <row r="10" spans="1:15" ht="33" customHeight="1" x14ac:dyDescent="0.25">
      <c r="A10" s="10">
        <f t="shared" si="0"/>
        <v>1.5000000000000004</v>
      </c>
      <c r="B10" s="3" t="s">
        <v>164</v>
      </c>
      <c r="C10" s="4">
        <v>0</v>
      </c>
      <c r="D10" s="4">
        <v>235</v>
      </c>
      <c r="E10" s="4">
        <v>222</v>
      </c>
      <c r="F10" s="4">
        <v>0</v>
      </c>
      <c r="G10" s="4">
        <v>0</v>
      </c>
      <c r="H10" s="4">
        <v>0</v>
      </c>
      <c r="I10" s="4">
        <v>0</v>
      </c>
      <c r="J10" s="4">
        <v>152</v>
      </c>
      <c r="K10" s="4">
        <v>26</v>
      </c>
      <c r="L10" s="4">
        <v>674</v>
      </c>
      <c r="M10" s="4">
        <v>0</v>
      </c>
      <c r="N10" s="4">
        <v>0</v>
      </c>
      <c r="O10" s="5">
        <f t="shared" si="1"/>
        <v>1309</v>
      </c>
    </row>
    <row r="11" spans="1:15" ht="30" customHeight="1" x14ac:dyDescent="0.25">
      <c r="A11" s="1">
        <f>+A5+1</f>
        <v>2</v>
      </c>
      <c r="B11" s="1" t="s">
        <v>165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3" customHeight="1" x14ac:dyDescent="0.25">
      <c r="A12" s="10">
        <f t="shared" ref="A12:A14" si="2">+A11+0.1</f>
        <v>2.1</v>
      </c>
      <c r="B12" s="3" t="s">
        <v>166</v>
      </c>
      <c r="C12" s="4">
        <v>5</v>
      </c>
      <c r="D12" s="4">
        <v>3</v>
      </c>
      <c r="E12" s="4">
        <v>10</v>
      </c>
      <c r="F12" s="4">
        <v>6</v>
      </c>
      <c r="G12" s="4">
        <v>4</v>
      </c>
      <c r="H12" s="4">
        <v>2</v>
      </c>
      <c r="I12" s="4">
        <v>2</v>
      </c>
      <c r="J12" s="4">
        <v>0</v>
      </c>
      <c r="K12" s="4">
        <v>2</v>
      </c>
      <c r="L12" s="4">
        <v>1</v>
      </c>
      <c r="M12" s="4">
        <v>12</v>
      </c>
      <c r="N12" s="4">
        <v>3</v>
      </c>
      <c r="O12" s="5">
        <f t="shared" ref="O12:O14" si="3">SUM(C12:N12)</f>
        <v>50</v>
      </c>
    </row>
    <row r="13" spans="1:15" ht="33" customHeight="1" x14ac:dyDescent="0.25">
      <c r="A13" s="10">
        <f t="shared" si="2"/>
        <v>2.2000000000000002</v>
      </c>
      <c r="B13" s="3" t="s">
        <v>167</v>
      </c>
      <c r="C13" s="4">
        <v>3</v>
      </c>
      <c r="D13" s="4">
        <v>0</v>
      </c>
      <c r="E13" s="4">
        <v>7</v>
      </c>
      <c r="F13" s="4">
        <v>1</v>
      </c>
      <c r="G13" s="4">
        <v>1</v>
      </c>
      <c r="H13" s="4">
        <v>2</v>
      </c>
      <c r="I13" s="4">
        <v>0</v>
      </c>
      <c r="J13" s="4">
        <v>0</v>
      </c>
      <c r="K13" s="4">
        <v>2</v>
      </c>
      <c r="L13" s="4">
        <v>0</v>
      </c>
      <c r="M13" s="4">
        <v>12</v>
      </c>
      <c r="N13" s="4">
        <v>3</v>
      </c>
      <c r="O13" s="5">
        <f t="shared" si="3"/>
        <v>31</v>
      </c>
    </row>
    <row r="14" spans="1:15" ht="33" customHeight="1" x14ac:dyDescent="0.25">
      <c r="A14" s="10">
        <f t="shared" si="2"/>
        <v>2.3000000000000003</v>
      </c>
      <c r="B14" s="3" t="s">
        <v>168</v>
      </c>
      <c r="C14" s="4">
        <v>2</v>
      </c>
      <c r="D14" s="4">
        <v>0</v>
      </c>
      <c r="E14" s="4">
        <v>3</v>
      </c>
      <c r="F14" s="4">
        <v>5</v>
      </c>
      <c r="G14" s="4">
        <v>3</v>
      </c>
      <c r="H14" s="4">
        <v>0</v>
      </c>
      <c r="I14" s="4">
        <v>2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5">
        <f t="shared" si="3"/>
        <v>16</v>
      </c>
    </row>
    <row r="15" spans="1:15" ht="30" customHeight="1" x14ac:dyDescent="0.25">
      <c r="A15" s="1">
        <f>+A11+1</f>
        <v>3</v>
      </c>
      <c r="B15" s="1" t="s">
        <v>169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4.5" customHeight="1" x14ac:dyDescent="0.25">
      <c r="A16" s="7">
        <f>+A15+0.1</f>
        <v>3.1</v>
      </c>
      <c r="B16" s="8" t="s">
        <v>170</v>
      </c>
      <c r="C16" s="9">
        <v>2145</v>
      </c>
      <c r="D16" s="9">
        <v>1435</v>
      </c>
      <c r="E16" s="9">
        <v>1538</v>
      </c>
      <c r="F16" s="9">
        <v>1101</v>
      </c>
      <c r="G16" s="9"/>
      <c r="H16" s="9">
        <v>1784</v>
      </c>
      <c r="I16" s="9">
        <v>1643</v>
      </c>
      <c r="J16" s="9">
        <v>1313</v>
      </c>
      <c r="K16" s="9">
        <v>987</v>
      </c>
      <c r="L16" s="9">
        <v>1173</v>
      </c>
      <c r="M16" s="9">
        <v>4159</v>
      </c>
      <c r="N16" s="9">
        <v>1787</v>
      </c>
      <c r="O16" s="5">
        <f>SUM(C16:N16)</f>
        <v>19065</v>
      </c>
    </row>
    <row r="17" spans="1:15" ht="30" customHeight="1" x14ac:dyDescent="0.25">
      <c r="A17" s="1">
        <f>+A15+1</f>
        <v>4</v>
      </c>
      <c r="B17" s="1" t="s">
        <v>171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38.25" customHeight="1" x14ac:dyDescent="0.25">
      <c r="A18" s="7">
        <f>+A17+0.1</f>
        <v>4.0999999999999996</v>
      </c>
      <c r="B18" s="8" t="s">
        <v>172</v>
      </c>
      <c r="C18" s="9">
        <v>310</v>
      </c>
      <c r="D18" s="9">
        <v>50</v>
      </c>
      <c r="E18" s="9">
        <v>140</v>
      </c>
      <c r="F18" s="9">
        <v>149</v>
      </c>
      <c r="G18" s="9">
        <v>131</v>
      </c>
      <c r="H18" s="9">
        <v>66</v>
      </c>
      <c r="I18" s="9">
        <v>45</v>
      </c>
      <c r="J18" s="9">
        <v>37</v>
      </c>
      <c r="K18" s="9">
        <v>43</v>
      </c>
      <c r="L18" s="9">
        <v>640</v>
      </c>
      <c r="M18" s="9">
        <v>198</v>
      </c>
      <c r="N18" s="9">
        <v>25</v>
      </c>
      <c r="O18" s="5">
        <f>SUM(C18:N18)</f>
        <v>1834</v>
      </c>
    </row>
    <row r="19" spans="1:15" ht="30" customHeight="1" x14ac:dyDescent="0.25">
      <c r="A19" s="1">
        <f>+A17+1</f>
        <v>5</v>
      </c>
      <c r="B19" s="1" t="s">
        <v>173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7" customHeight="1" x14ac:dyDescent="0.25">
      <c r="A20" s="7">
        <f t="shared" ref="A20:A24" si="4">+A19+0.1</f>
        <v>5.0999999999999996</v>
      </c>
      <c r="B20" s="8" t="s">
        <v>174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5">
        <f t="shared" ref="O20:O24" si="5">SUM(C20:N20)</f>
        <v>0</v>
      </c>
    </row>
    <row r="21" spans="1:15" ht="33" customHeight="1" x14ac:dyDescent="0.25">
      <c r="A21" s="7">
        <f t="shared" si="4"/>
        <v>5.1999999999999993</v>
      </c>
      <c r="B21" s="8" t="s">
        <v>175</v>
      </c>
      <c r="C21" s="9">
        <v>33</v>
      </c>
      <c r="D21" s="9">
        <v>31</v>
      </c>
      <c r="E21" s="9">
        <v>58</v>
      </c>
      <c r="F21" s="9">
        <v>25</v>
      </c>
      <c r="G21" s="9">
        <v>14</v>
      </c>
      <c r="H21" s="9">
        <v>54</v>
      </c>
      <c r="I21" s="9">
        <v>30</v>
      </c>
      <c r="J21" s="9">
        <v>15</v>
      </c>
      <c r="K21" s="9">
        <v>18</v>
      </c>
      <c r="L21" s="9">
        <v>28</v>
      </c>
      <c r="M21" s="9">
        <v>4</v>
      </c>
      <c r="N21" s="9">
        <v>3</v>
      </c>
      <c r="O21" s="5">
        <f t="shared" si="5"/>
        <v>313</v>
      </c>
    </row>
    <row r="22" spans="1:15" ht="27" customHeight="1" x14ac:dyDescent="0.25">
      <c r="A22" s="7">
        <f t="shared" si="4"/>
        <v>5.2999999999999989</v>
      </c>
      <c r="B22" s="8" t="s">
        <v>176</v>
      </c>
      <c r="C22" s="9">
        <v>35</v>
      </c>
      <c r="D22" s="9">
        <v>6</v>
      </c>
      <c r="E22" s="9">
        <v>66</v>
      </c>
      <c r="F22" s="9">
        <v>70</v>
      </c>
      <c r="G22" s="9">
        <v>95</v>
      </c>
      <c r="H22" s="9">
        <v>61</v>
      </c>
      <c r="I22" s="9">
        <v>51</v>
      </c>
      <c r="J22" s="9">
        <v>85</v>
      </c>
      <c r="K22" s="9">
        <v>35</v>
      </c>
      <c r="L22" s="9">
        <v>39</v>
      </c>
      <c r="M22" s="9">
        <v>2</v>
      </c>
      <c r="N22" s="9">
        <v>1</v>
      </c>
      <c r="O22" s="5">
        <f t="shared" si="5"/>
        <v>546</v>
      </c>
    </row>
    <row r="23" spans="1:15" ht="37.5" customHeight="1" x14ac:dyDescent="0.25">
      <c r="A23" s="7">
        <f t="shared" si="4"/>
        <v>5.3999999999999986</v>
      </c>
      <c r="B23" s="8" t="s">
        <v>177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7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5">
        <f t="shared" si="5"/>
        <v>7</v>
      </c>
    </row>
    <row r="24" spans="1:15" ht="63" customHeight="1" x14ac:dyDescent="0.25">
      <c r="A24" s="7">
        <f t="shared" si="4"/>
        <v>5.4999999999999982</v>
      </c>
      <c r="B24" s="8" t="s">
        <v>178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5">
        <f t="shared" si="5"/>
        <v>0</v>
      </c>
    </row>
    <row r="25" spans="1:15" ht="27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59" t="s">
        <v>179</v>
      </c>
      <c r="B26" s="60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1"/>
      <c r="B27" s="6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24"/>
      <c r="B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24"/>
      <c r="B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4">
    <mergeCell ref="A26:B27"/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0"/>
  <sheetViews>
    <sheetView zoomScale="70" zoomScaleNormal="70" workbookViewId="0">
      <selection activeCell="L17" sqref="L17"/>
    </sheetView>
  </sheetViews>
  <sheetFormatPr baseColWidth="10" defaultColWidth="14.42578125" defaultRowHeight="15" customHeight="1" x14ac:dyDescent="0.25"/>
  <cols>
    <col min="1" max="1" width="8.42578125" customWidth="1"/>
    <col min="2" max="2" width="37.85546875" customWidth="1"/>
    <col min="3" max="15" width="14.2851562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51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30" customHeight="1" x14ac:dyDescent="0.25">
      <c r="A5" s="1">
        <v>1</v>
      </c>
      <c r="B5" s="1" t="s">
        <v>180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3" si="0">+A5+0.1</f>
        <v>1.1000000000000001</v>
      </c>
      <c r="B6" s="3" t="s">
        <v>181</v>
      </c>
      <c r="C6" s="25">
        <v>0</v>
      </c>
      <c r="D6" s="4">
        <v>0</v>
      </c>
      <c r="E6" s="25">
        <v>0</v>
      </c>
      <c r="F6" s="4">
        <v>0</v>
      </c>
      <c r="G6" s="4">
        <v>0</v>
      </c>
      <c r="H6" s="25">
        <v>0</v>
      </c>
      <c r="I6" s="25">
        <v>1</v>
      </c>
      <c r="J6" s="40">
        <v>8</v>
      </c>
      <c r="K6" s="4">
        <v>4</v>
      </c>
      <c r="L6" s="47">
        <v>23</v>
      </c>
      <c r="M6" s="47">
        <v>19</v>
      </c>
      <c r="N6" s="47">
        <v>22</v>
      </c>
      <c r="O6" s="5">
        <f t="shared" ref="O6:O9" si="1">SUM(C6:N6)</f>
        <v>77</v>
      </c>
    </row>
    <row r="7" spans="1:15" ht="33" customHeight="1" x14ac:dyDescent="0.25">
      <c r="A7" s="10">
        <f t="shared" si="0"/>
        <v>1.2000000000000002</v>
      </c>
      <c r="B7" s="3" t="s">
        <v>182</v>
      </c>
      <c r="C7" s="25">
        <v>0</v>
      </c>
      <c r="D7" s="4">
        <v>0</v>
      </c>
      <c r="E7" s="25">
        <v>0</v>
      </c>
      <c r="F7" s="4">
        <v>0</v>
      </c>
      <c r="G7" s="4">
        <v>0</v>
      </c>
      <c r="H7" s="25">
        <v>0</v>
      </c>
      <c r="I7" s="25">
        <v>37</v>
      </c>
      <c r="J7" s="40">
        <v>382</v>
      </c>
      <c r="K7" s="4">
        <v>663</v>
      </c>
      <c r="L7" s="47">
        <v>674</v>
      </c>
      <c r="M7" s="47">
        <v>627</v>
      </c>
      <c r="N7" s="47">
        <v>839</v>
      </c>
      <c r="O7" s="5">
        <f t="shared" si="1"/>
        <v>3222</v>
      </c>
    </row>
    <row r="8" spans="1:15" ht="33" customHeight="1" x14ac:dyDescent="0.25">
      <c r="A8" s="10">
        <f t="shared" si="0"/>
        <v>1.3000000000000003</v>
      </c>
      <c r="B8" s="3" t="s">
        <v>183</v>
      </c>
      <c r="C8" s="25">
        <v>0</v>
      </c>
      <c r="D8" s="4">
        <v>0</v>
      </c>
      <c r="E8" s="25">
        <v>0</v>
      </c>
      <c r="F8" s="4">
        <v>0</v>
      </c>
      <c r="G8" s="4">
        <v>0</v>
      </c>
      <c r="H8" s="25">
        <v>0</v>
      </c>
      <c r="I8" s="25">
        <v>35</v>
      </c>
      <c r="J8" s="40">
        <v>398</v>
      </c>
      <c r="K8" s="4">
        <v>776</v>
      </c>
      <c r="L8" s="47">
        <v>753</v>
      </c>
      <c r="M8" s="47">
        <v>851</v>
      </c>
      <c r="N8" s="47">
        <v>1038</v>
      </c>
      <c r="O8" s="5">
        <f t="shared" si="1"/>
        <v>3851</v>
      </c>
    </row>
    <row r="9" spans="1:15" ht="33" customHeight="1" x14ac:dyDescent="0.25">
      <c r="A9" s="10">
        <f t="shared" si="0"/>
        <v>1.4000000000000004</v>
      </c>
      <c r="B9" s="3" t="s">
        <v>184</v>
      </c>
      <c r="C9" s="25">
        <v>0</v>
      </c>
      <c r="D9" s="4">
        <v>0</v>
      </c>
      <c r="E9" s="25">
        <v>0</v>
      </c>
      <c r="F9" s="4">
        <v>0</v>
      </c>
      <c r="G9" s="4">
        <v>0</v>
      </c>
      <c r="H9" s="25">
        <v>0</v>
      </c>
      <c r="I9" s="25">
        <v>23</v>
      </c>
      <c r="J9" s="40">
        <v>319</v>
      </c>
      <c r="K9" s="4">
        <v>555</v>
      </c>
      <c r="L9" s="47">
        <v>548</v>
      </c>
      <c r="M9" s="47">
        <v>554</v>
      </c>
      <c r="N9" s="47">
        <v>771</v>
      </c>
      <c r="O9" s="5">
        <f t="shared" si="1"/>
        <v>2770</v>
      </c>
    </row>
    <row r="10" spans="1:15" ht="33" customHeight="1" x14ac:dyDescent="0.25">
      <c r="A10" s="10">
        <f t="shared" si="0"/>
        <v>1.5000000000000004</v>
      </c>
      <c r="B10" s="3" t="s">
        <v>185</v>
      </c>
      <c r="C10" s="25">
        <v>0</v>
      </c>
      <c r="D10" s="4">
        <v>0</v>
      </c>
      <c r="E10" s="25">
        <v>0</v>
      </c>
      <c r="F10" s="4">
        <v>0</v>
      </c>
      <c r="G10" s="4">
        <v>0</v>
      </c>
      <c r="H10" s="25">
        <v>0</v>
      </c>
      <c r="I10" s="25">
        <v>96</v>
      </c>
      <c r="J10" s="40">
        <v>1107</v>
      </c>
      <c r="K10" s="4">
        <v>1998</v>
      </c>
      <c r="L10" s="48">
        <v>1998</v>
      </c>
      <c r="M10" s="48">
        <v>2051</v>
      </c>
      <c r="N10" s="53">
        <v>2670</v>
      </c>
      <c r="O10" s="5">
        <f>SUM(O6:O9)</f>
        <v>9920</v>
      </c>
    </row>
    <row r="11" spans="1:15" ht="33" customHeight="1" x14ac:dyDescent="0.25">
      <c r="A11" s="10">
        <f t="shared" si="0"/>
        <v>1.6000000000000005</v>
      </c>
      <c r="B11" s="3" t="s">
        <v>186</v>
      </c>
      <c r="C11" s="25">
        <v>0</v>
      </c>
      <c r="D11" s="4">
        <v>0</v>
      </c>
      <c r="E11" s="25">
        <v>0</v>
      </c>
      <c r="F11" s="4">
        <v>0</v>
      </c>
      <c r="G11" s="4">
        <v>0</v>
      </c>
      <c r="H11" s="25">
        <v>0</v>
      </c>
      <c r="I11" s="25">
        <v>28800</v>
      </c>
      <c r="J11" s="44">
        <v>332110</v>
      </c>
      <c r="K11" s="45">
        <v>599400</v>
      </c>
      <c r="L11" s="45">
        <v>599400</v>
      </c>
      <c r="M11" s="51">
        <v>615300</v>
      </c>
      <c r="N11" s="51">
        <v>801000</v>
      </c>
      <c r="O11" s="5">
        <f t="shared" ref="O11:O12" si="2">SUM(C11:N11)</f>
        <v>2976010</v>
      </c>
    </row>
    <row r="12" spans="1:15" ht="30" customHeight="1" x14ac:dyDescent="0.25">
      <c r="A12" s="1">
        <f t="shared" si="0"/>
        <v>1.7000000000000006</v>
      </c>
      <c r="B12" s="1" t="s">
        <v>187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 t="s">
        <v>271</v>
      </c>
      <c r="L12" s="1" t="s">
        <v>271</v>
      </c>
      <c r="M12" s="1" t="s">
        <v>271</v>
      </c>
      <c r="N12" s="1"/>
      <c r="O12" s="1">
        <f t="shared" si="2"/>
        <v>0</v>
      </c>
    </row>
    <row r="13" spans="1:15" ht="35.25" customHeight="1" x14ac:dyDescent="0.25">
      <c r="A13" s="7">
        <f t="shared" si="0"/>
        <v>1.8000000000000007</v>
      </c>
      <c r="B13" s="8" t="s">
        <v>188</v>
      </c>
      <c r="C13" s="25">
        <v>0</v>
      </c>
      <c r="D13" s="4">
        <v>0</v>
      </c>
      <c r="E13" s="25">
        <v>0</v>
      </c>
      <c r="F13" s="25">
        <v>0</v>
      </c>
      <c r="G13" s="4">
        <v>0</v>
      </c>
      <c r="H13" s="25">
        <v>0</v>
      </c>
      <c r="I13" s="25">
        <v>28800</v>
      </c>
      <c r="J13" s="40">
        <v>332110</v>
      </c>
      <c r="K13" s="4">
        <v>599400</v>
      </c>
      <c r="L13" s="4">
        <v>599400</v>
      </c>
      <c r="M13" s="52">
        <v>615300</v>
      </c>
      <c r="N13" s="51">
        <v>801000</v>
      </c>
      <c r="O13" s="5">
        <f>SUM(O11:O12)</f>
        <v>2976010</v>
      </c>
    </row>
    <row r="14" spans="1:15" ht="35.25" customHeight="1" x14ac:dyDescent="0.25">
      <c r="A14" s="7">
        <f>+A5+1</f>
        <v>2</v>
      </c>
      <c r="B14" s="8" t="s">
        <v>189</v>
      </c>
      <c r="C14" s="25"/>
      <c r="D14" s="4"/>
      <c r="E14" s="25"/>
      <c r="F14" s="25"/>
      <c r="G14" s="4"/>
      <c r="H14" s="25"/>
      <c r="I14" s="25"/>
      <c r="J14" s="40"/>
      <c r="K14" s="4"/>
      <c r="L14" s="4"/>
      <c r="M14" s="4"/>
      <c r="N14" s="4"/>
      <c r="O14" s="5"/>
    </row>
    <row r="15" spans="1:15" ht="35.25" customHeight="1" x14ac:dyDescent="0.25">
      <c r="A15" s="7">
        <f t="shared" ref="A15:A18" si="3">+A14+0.1</f>
        <v>2.1</v>
      </c>
      <c r="B15" s="8" t="s">
        <v>190</v>
      </c>
      <c r="C15" s="25">
        <v>0</v>
      </c>
      <c r="D15" s="4">
        <v>367</v>
      </c>
      <c r="E15" s="25">
        <v>213</v>
      </c>
      <c r="F15" s="25">
        <v>194</v>
      </c>
      <c r="G15" s="4">
        <v>147</v>
      </c>
      <c r="H15" s="25">
        <v>153</v>
      </c>
      <c r="I15" s="26">
        <v>167</v>
      </c>
      <c r="J15" s="40">
        <v>163</v>
      </c>
      <c r="K15" s="4">
        <v>197</v>
      </c>
      <c r="L15" s="4">
        <v>411</v>
      </c>
      <c r="M15" s="4">
        <v>0</v>
      </c>
      <c r="N15" s="4">
        <v>0</v>
      </c>
      <c r="O15" s="5">
        <f t="shared" ref="O15:O18" si="4">SUM(C15:N15)</f>
        <v>2012</v>
      </c>
    </row>
    <row r="16" spans="1:15" ht="35.25" customHeight="1" x14ac:dyDescent="0.25">
      <c r="A16" s="7">
        <f t="shared" si="3"/>
        <v>2.2000000000000002</v>
      </c>
      <c r="B16" s="8" t="s">
        <v>191</v>
      </c>
      <c r="C16" s="25">
        <v>0</v>
      </c>
      <c r="D16" s="4">
        <v>315</v>
      </c>
      <c r="E16" s="25">
        <v>192</v>
      </c>
      <c r="F16" s="25">
        <v>165</v>
      </c>
      <c r="G16" s="4">
        <v>126</v>
      </c>
      <c r="H16" s="25">
        <v>147</v>
      </c>
      <c r="I16" s="25">
        <v>141</v>
      </c>
      <c r="J16" s="40">
        <v>141</v>
      </c>
      <c r="K16" s="4">
        <v>189</v>
      </c>
      <c r="L16" s="4">
        <v>204</v>
      </c>
      <c r="M16" s="4">
        <v>0</v>
      </c>
      <c r="N16" s="4">
        <v>0</v>
      </c>
      <c r="O16" s="5">
        <f t="shared" si="4"/>
        <v>1620</v>
      </c>
    </row>
    <row r="17" spans="1:15" ht="35.25" customHeight="1" x14ac:dyDescent="0.25">
      <c r="A17" s="7">
        <f t="shared" si="3"/>
        <v>2.3000000000000003</v>
      </c>
      <c r="B17" s="8" t="s">
        <v>192</v>
      </c>
      <c r="C17" s="25">
        <v>0</v>
      </c>
      <c r="D17" s="4">
        <v>57</v>
      </c>
      <c r="E17" s="25">
        <v>9</v>
      </c>
      <c r="F17" s="25">
        <v>6</v>
      </c>
      <c r="G17" s="4">
        <v>3</v>
      </c>
      <c r="H17" s="25">
        <v>3</v>
      </c>
      <c r="I17" s="25">
        <v>2</v>
      </c>
      <c r="J17" s="40">
        <v>2</v>
      </c>
      <c r="K17" s="4">
        <v>1</v>
      </c>
      <c r="L17" s="4">
        <v>3</v>
      </c>
      <c r="M17" s="4">
        <v>0</v>
      </c>
      <c r="N17" s="4">
        <v>0</v>
      </c>
      <c r="O17" s="5">
        <f t="shared" si="4"/>
        <v>86</v>
      </c>
    </row>
    <row r="18" spans="1:15" ht="27.75" customHeight="1" x14ac:dyDescent="0.25">
      <c r="A18" s="7">
        <f t="shared" si="3"/>
        <v>2.4000000000000004</v>
      </c>
      <c r="B18" s="8" t="s">
        <v>159</v>
      </c>
      <c r="C18" s="25">
        <v>0</v>
      </c>
      <c r="D18" s="4">
        <v>10</v>
      </c>
      <c r="E18" s="25">
        <v>10</v>
      </c>
      <c r="F18" s="25">
        <v>5</v>
      </c>
      <c r="G18" s="4">
        <v>10</v>
      </c>
      <c r="H18" s="25">
        <v>10</v>
      </c>
      <c r="I18" s="25">
        <v>10</v>
      </c>
      <c r="J18" s="40">
        <v>10</v>
      </c>
      <c r="K18" s="4">
        <v>11</v>
      </c>
      <c r="L18" s="4">
        <v>10</v>
      </c>
      <c r="M18" s="4">
        <v>0</v>
      </c>
      <c r="N18" s="4">
        <v>0</v>
      </c>
      <c r="O18" s="5">
        <f t="shared" si="4"/>
        <v>86</v>
      </c>
    </row>
    <row r="19" spans="1:1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00"/>
  <sheetViews>
    <sheetView zoomScale="70" zoomScaleNormal="70" workbookViewId="0">
      <selection activeCell="J19" sqref="J19"/>
    </sheetView>
  </sheetViews>
  <sheetFormatPr baseColWidth="10" defaultColWidth="14.42578125" defaultRowHeight="15" customHeight="1" x14ac:dyDescent="0.25"/>
  <cols>
    <col min="1" max="1" width="8.42578125" customWidth="1"/>
    <col min="2" max="2" width="37.85546875" customWidth="1"/>
    <col min="3" max="15" width="14.2851562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51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30" customHeight="1" x14ac:dyDescent="0.25">
      <c r="A5" s="1">
        <v>1</v>
      </c>
      <c r="B5" s="1" t="s">
        <v>193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1" si="0">+A5+0.1</f>
        <v>1.1000000000000001</v>
      </c>
      <c r="B6" s="3" t="s">
        <v>194</v>
      </c>
      <c r="C6" s="25">
        <v>156</v>
      </c>
      <c r="D6" s="4">
        <v>124</v>
      </c>
      <c r="E6" s="25">
        <v>321</v>
      </c>
      <c r="F6" s="4">
        <v>203</v>
      </c>
      <c r="G6" s="4">
        <v>222</v>
      </c>
      <c r="H6" s="25">
        <v>225</v>
      </c>
      <c r="I6" s="25">
        <v>188</v>
      </c>
      <c r="J6" s="40">
        <v>191</v>
      </c>
      <c r="K6" s="4">
        <v>136</v>
      </c>
      <c r="L6" s="4">
        <v>289</v>
      </c>
      <c r="M6" s="4">
        <v>187</v>
      </c>
      <c r="N6" s="4">
        <v>191</v>
      </c>
      <c r="O6" s="5">
        <f t="shared" ref="O6:O11" si="1">SUM(C6:N6)</f>
        <v>2433</v>
      </c>
    </row>
    <row r="7" spans="1:15" ht="33" customHeight="1" x14ac:dyDescent="0.25">
      <c r="A7" s="10">
        <f t="shared" si="0"/>
        <v>1.2000000000000002</v>
      </c>
      <c r="B7" s="3" t="s">
        <v>195</v>
      </c>
      <c r="C7" s="25">
        <v>45</v>
      </c>
      <c r="D7" s="4">
        <v>63</v>
      </c>
      <c r="E7" s="25">
        <v>52</v>
      </c>
      <c r="F7" s="4">
        <v>64</v>
      </c>
      <c r="G7" s="4">
        <v>78</v>
      </c>
      <c r="H7" s="25">
        <v>62</v>
      </c>
      <c r="I7" s="25">
        <v>124</v>
      </c>
      <c r="J7" s="40">
        <v>80</v>
      </c>
      <c r="K7" s="4">
        <v>123</v>
      </c>
      <c r="L7" s="4">
        <v>225</v>
      </c>
      <c r="M7" s="4">
        <v>235</v>
      </c>
      <c r="N7" s="4">
        <v>110</v>
      </c>
      <c r="O7" s="5">
        <f t="shared" si="1"/>
        <v>1261</v>
      </c>
    </row>
    <row r="8" spans="1:15" ht="33" customHeight="1" x14ac:dyDescent="0.25">
      <c r="A8" s="10">
        <f t="shared" si="0"/>
        <v>1.3000000000000003</v>
      </c>
      <c r="B8" s="3" t="s">
        <v>196</v>
      </c>
      <c r="C8" s="25">
        <v>56</v>
      </c>
      <c r="D8" s="4">
        <v>74</v>
      </c>
      <c r="E8" s="25">
        <v>58</v>
      </c>
      <c r="F8" s="4">
        <v>25</v>
      </c>
      <c r="G8" s="4">
        <v>49</v>
      </c>
      <c r="H8" s="25">
        <v>77</v>
      </c>
      <c r="I8" s="25">
        <v>93</v>
      </c>
      <c r="J8" s="40">
        <v>98</v>
      </c>
      <c r="K8" s="4">
        <v>162</v>
      </c>
      <c r="L8" s="4">
        <v>308</v>
      </c>
      <c r="M8" s="4">
        <v>235</v>
      </c>
      <c r="N8" s="4">
        <v>70</v>
      </c>
      <c r="O8" s="5">
        <f t="shared" si="1"/>
        <v>1305</v>
      </c>
    </row>
    <row r="9" spans="1:15" ht="33" customHeight="1" x14ac:dyDescent="0.25">
      <c r="A9" s="10">
        <f t="shared" si="0"/>
        <v>1.4000000000000004</v>
      </c>
      <c r="B9" s="3" t="s">
        <v>197</v>
      </c>
      <c r="C9" s="25">
        <v>199</v>
      </c>
      <c r="D9" s="4">
        <v>160</v>
      </c>
      <c r="E9" s="25">
        <v>126</v>
      </c>
      <c r="F9" s="4">
        <v>118</v>
      </c>
      <c r="G9" s="4">
        <v>116</v>
      </c>
      <c r="H9" s="25">
        <v>198</v>
      </c>
      <c r="I9" s="25">
        <v>262</v>
      </c>
      <c r="J9" s="40">
        <v>220</v>
      </c>
      <c r="K9" s="4">
        <v>242</v>
      </c>
      <c r="L9" s="4">
        <v>239</v>
      </c>
      <c r="M9" s="4">
        <v>157</v>
      </c>
      <c r="N9" s="4">
        <v>215</v>
      </c>
      <c r="O9" s="5">
        <f t="shared" si="1"/>
        <v>2252</v>
      </c>
    </row>
    <row r="10" spans="1:15" ht="33" customHeight="1" x14ac:dyDescent="0.25">
      <c r="A10" s="10">
        <f t="shared" si="0"/>
        <v>1.5000000000000004</v>
      </c>
      <c r="B10" s="3" t="s">
        <v>198</v>
      </c>
      <c r="C10" s="25">
        <v>1</v>
      </c>
      <c r="D10" s="4">
        <v>0</v>
      </c>
      <c r="E10" s="25">
        <v>2</v>
      </c>
      <c r="F10" s="4">
        <v>1</v>
      </c>
      <c r="G10" s="4">
        <v>2</v>
      </c>
      <c r="H10" s="25">
        <v>0</v>
      </c>
      <c r="I10" s="25">
        <v>0</v>
      </c>
      <c r="J10" s="40">
        <v>0</v>
      </c>
      <c r="K10" s="4">
        <v>0</v>
      </c>
      <c r="L10" s="4">
        <v>0</v>
      </c>
      <c r="M10" s="4">
        <v>0</v>
      </c>
      <c r="N10" s="4">
        <v>0</v>
      </c>
      <c r="O10" s="5">
        <f t="shared" si="1"/>
        <v>6</v>
      </c>
    </row>
    <row r="11" spans="1:15" ht="33" customHeight="1" x14ac:dyDescent="0.25">
      <c r="A11" s="10">
        <f t="shared" si="0"/>
        <v>1.6000000000000005</v>
      </c>
      <c r="B11" s="3" t="s">
        <v>199</v>
      </c>
      <c r="C11" s="25">
        <v>2983</v>
      </c>
      <c r="D11" s="4">
        <v>2741</v>
      </c>
      <c r="E11" s="25">
        <v>3155</v>
      </c>
      <c r="F11" s="4">
        <v>2595</v>
      </c>
      <c r="G11" s="4">
        <v>3584</v>
      </c>
      <c r="H11" s="25">
        <v>3539</v>
      </c>
      <c r="I11" s="25">
        <v>3766</v>
      </c>
      <c r="J11" s="44">
        <v>3049</v>
      </c>
      <c r="K11" s="44">
        <v>3011</v>
      </c>
      <c r="L11" s="4">
        <v>7098</v>
      </c>
      <c r="M11" s="4">
        <v>7465</v>
      </c>
      <c r="N11" s="4">
        <v>4975</v>
      </c>
      <c r="O11" s="5">
        <f t="shared" si="1"/>
        <v>47961</v>
      </c>
    </row>
    <row r="12" spans="1:15" ht="30" customHeight="1" x14ac:dyDescent="0.25">
      <c r="A12" s="1">
        <f>+A5+1</f>
        <v>2</v>
      </c>
      <c r="B12" s="1" t="s">
        <v>200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5.25" customHeight="1" x14ac:dyDescent="0.25">
      <c r="A13" s="7">
        <f t="shared" ref="A13:A17" si="2">+A12+0.1</f>
        <v>2.1</v>
      </c>
      <c r="B13" s="8" t="s">
        <v>201</v>
      </c>
      <c r="C13" s="25">
        <v>30</v>
      </c>
      <c r="D13" s="4">
        <v>20</v>
      </c>
      <c r="E13" s="25">
        <v>173</v>
      </c>
      <c r="F13" s="25">
        <v>227</v>
      </c>
      <c r="G13" s="4">
        <v>415</v>
      </c>
      <c r="H13" s="25">
        <v>476</v>
      </c>
      <c r="I13" s="25">
        <v>441</v>
      </c>
      <c r="J13" s="40">
        <v>492</v>
      </c>
      <c r="K13" s="4">
        <v>317</v>
      </c>
      <c r="L13" s="4">
        <v>373</v>
      </c>
      <c r="M13" s="40">
        <v>137</v>
      </c>
      <c r="N13" s="4">
        <v>0</v>
      </c>
      <c r="O13" s="5">
        <f t="shared" ref="O13:O17" si="3">SUM(C13:N13)</f>
        <v>3101</v>
      </c>
    </row>
    <row r="14" spans="1:15" ht="35.25" customHeight="1" x14ac:dyDescent="0.25">
      <c r="A14" s="7">
        <f t="shared" si="2"/>
        <v>2.2000000000000002</v>
      </c>
      <c r="B14" s="8" t="s">
        <v>202</v>
      </c>
      <c r="C14" s="25">
        <v>28</v>
      </c>
      <c r="D14" s="4">
        <v>47</v>
      </c>
      <c r="E14" s="25">
        <v>127</v>
      </c>
      <c r="F14" s="25">
        <v>29</v>
      </c>
      <c r="G14" s="4">
        <v>14</v>
      </c>
      <c r="H14" s="25">
        <v>0</v>
      </c>
      <c r="I14" s="25">
        <v>84</v>
      </c>
      <c r="J14" s="40">
        <v>86</v>
      </c>
      <c r="K14" s="4">
        <v>112</v>
      </c>
      <c r="L14" s="4">
        <v>103</v>
      </c>
      <c r="M14" s="4">
        <v>81</v>
      </c>
      <c r="N14" s="4">
        <v>1</v>
      </c>
      <c r="O14" s="5">
        <f t="shared" si="3"/>
        <v>712</v>
      </c>
    </row>
    <row r="15" spans="1:15" ht="35.25" customHeight="1" x14ac:dyDescent="0.25">
      <c r="A15" s="7">
        <f t="shared" si="2"/>
        <v>2.3000000000000003</v>
      </c>
      <c r="B15" s="8" t="s">
        <v>203</v>
      </c>
      <c r="C15" s="25">
        <v>3</v>
      </c>
      <c r="D15" s="4">
        <v>11</v>
      </c>
      <c r="E15" s="25">
        <v>36</v>
      </c>
      <c r="F15" s="25">
        <v>5</v>
      </c>
      <c r="G15" s="4">
        <v>27</v>
      </c>
      <c r="H15" s="25">
        <v>31</v>
      </c>
      <c r="I15" s="26">
        <v>65</v>
      </c>
      <c r="J15" s="40">
        <v>21</v>
      </c>
      <c r="K15" s="4">
        <v>7</v>
      </c>
      <c r="L15" s="4">
        <v>14</v>
      </c>
      <c r="M15" s="4">
        <v>14</v>
      </c>
      <c r="N15" s="4">
        <v>14</v>
      </c>
      <c r="O15" s="5">
        <f t="shared" si="3"/>
        <v>248</v>
      </c>
    </row>
    <row r="16" spans="1:15" ht="35.25" customHeight="1" x14ac:dyDescent="0.25">
      <c r="A16" s="7">
        <f t="shared" si="2"/>
        <v>2.4000000000000004</v>
      </c>
      <c r="B16" s="8" t="s">
        <v>204</v>
      </c>
      <c r="C16" s="25">
        <v>26</v>
      </c>
      <c r="D16" s="4">
        <v>0</v>
      </c>
      <c r="E16" s="25">
        <v>0</v>
      </c>
      <c r="F16" s="25">
        <v>0</v>
      </c>
      <c r="G16" s="4">
        <v>0</v>
      </c>
      <c r="H16" s="25">
        <v>0</v>
      </c>
      <c r="I16" s="25">
        <v>10</v>
      </c>
      <c r="J16" s="40">
        <v>14</v>
      </c>
      <c r="K16" s="4">
        <v>13</v>
      </c>
      <c r="L16" s="4">
        <v>13</v>
      </c>
      <c r="M16" s="4">
        <v>9</v>
      </c>
      <c r="N16" s="4">
        <v>3</v>
      </c>
      <c r="O16" s="5">
        <f t="shared" si="3"/>
        <v>88</v>
      </c>
    </row>
    <row r="17" spans="1:15" ht="35.25" customHeight="1" x14ac:dyDescent="0.25">
      <c r="A17" s="7">
        <f t="shared" si="2"/>
        <v>2.5000000000000004</v>
      </c>
      <c r="B17" s="8" t="s">
        <v>205</v>
      </c>
      <c r="C17" s="25">
        <v>0</v>
      </c>
      <c r="D17" s="4">
        <v>0</v>
      </c>
      <c r="E17" s="25">
        <v>0</v>
      </c>
      <c r="F17" s="25">
        <v>0</v>
      </c>
      <c r="G17" s="4">
        <v>0</v>
      </c>
      <c r="H17" s="25">
        <v>0</v>
      </c>
      <c r="I17" s="25">
        <v>0</v>
      </c>
      <c r="J17" s="40">
        <v>0</v>
      </c>
      <c r="K17" s="4">
        <v>0</v>
      </c>
      <c r="L17" s="4">
        <v>0</v>
      </c>
      <c r="M17" s="4">
        <v>0</v>
      </c>
      <c r="N17" s="4">
        <v>0</v>
      </c>
      <c r="O17" s="5">
        <f t="shared" si="3"/>
        <v>0</v>
      </c>
    </row>
    <row r="18" spans="1:1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5">
      <c r="A19" s="6" t="s">
        <v>206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8953"/>
    <pageSetUpPr fitToPage="1"/>
  </sheetPr>
  <dimension ref="A1:O100"/>
  <sheetViews>
    <sheetView zoomScale="70" zoomScaleNormal="70" workbookViewId="0">
      <selection activeCell="K9" sqref="K9"/>
    </sheetView>
  </sheetViews>
  <sheetFormatPr baseColWidth="10" defaultColWidth="14.42578125" defaultRowHeight="15" customHeight="1" x14ac:dyDescent="0.25"/>
  <cols>
    <col min="1" max="1" width="8.42578125" customWidth="1"/>
    <col min="2" max="2" width="44.140625" customWidth="1"/>
    <col min="3" max="3" width="12.42578125" customWidth="1"/>
    <col min="4" max="4" width="14.42578125" customWidth="1"/>
    <col min="5" max="5" width="12.85546875" customWidth="1"/>
    <col min="6" max="6" width="11.5703125" customWidth="1"/>
    <col min="7" max="7" width="12" customWidth="1"/>
    <col min="8" max="8" width="11.5703125" customWidth="1"/>
    <col min="9" max="9" width="11" customWidth="1"/>
    <col min="10" max="10" width="13.42578125" customWidth="1"/>
    <col min="11" max="11" width="18.42578125" customWidth="1"/>
    <col min="12" max="12" width="14.42578125" customWidth="1"/>
    <col min="13" max="13" width="17.28515625" customWidth="1"/>
    <col min="14" max="14" width="16.42578125" customWidth="1"/>
    <col min="15" max="15" width="11.710937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44.25" customHeight="1" x14ac:dyDescent="0.25">
      <c r="A5" s="10">
        <v>1</v>
      </c>
      <c r="B5" s="3" t="s">
        <v>207</v>
      </c>
      <c r="C5" s="4">
        <v>15</v>
      </c>
      <c r="D5" s="4">
        <v>15</v>
      </c>
      <c r="E5" s="4">
        <v>11</v>
      </c>
      <c r="F5" s="4">
        <v>19</v>
      </c>
      <c r="G5" s="4">
        <v>0</v>
      </c>
      <c r="H5" s="4">
        <v>0</v>
      </c>
      <c r="I5" s="42">
        <v>20</v>
      </c>
      <c r="J5" s="4">
        <v>37</v>
      </c>
      <c r="K5" s="4">
        <v>20</v>
      </c>
      <c r="L5" s="35">
        <v>0</v>
      </c>
      <c r="M5" s="35">
        <v>0</v>
      </c>
      <c r="N5" s="35">
        <v>0</v>
      </c>
      <c r="O5" s="5">
        <f t="shared" ref="O5:O7" si="0">SUM(C5:N5)</f>
        <v>137</v>
      </c>
    </row>
    <row r="6" spans="1:15" ht="46.5" customHeight="1" x14ac:dyDescent="0.25">
      <c r="A6" s="7">
        <f t="shared" ref="A6:A7" si="1">+A5+1</f>
        <v>2</v>
      </c>
      <c r="B6" s="3" t="s">
        <v>208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2">
        <v>0</v>
      </c>
      <c r="J6" s="4">
        <v>0</v>
      </c>
      <c r="K6" s="4">
        <v>0</v>
      </c>
      <c r="L6" s="35">
        <v>0</v>
      </c>
      <c r="M6" s="35">
        <v>0</v>
      </c>
      <c r="N6" s="35">
        <v>0</v>
      </c>
      <c r="O6" s="5">
        <f t="shared" si="0"/>
        <v>0</v>
      </c>
    </row>
    <row r="7" spans="1:15" ht="57.75" customHeight="1" x14ac:dyDescent="0.25">
      <c r="A7" s="7">
        <f t="shared" si="1"/>
        <v>3</v>
      </c>
      <c r="B7" s="3" t="s">
        <v>209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2">
        <v>0</v>
      </c>
      <c r="J7" s="4">
        <v>0</v>
      </c>
      <c r="K7" s="4">
        <v>0</v>
      </c>
      <c r="L7" s="35">
        <v>0</v>
      </c>
      <c r="M7" s="35">
        <v>0</v>
      </c>
      <c r="N7" s="35">
        <v>0</v>
      </c>
      <c r="O7" s="5">
        <f t="shared" si="0"/>
        <v>0</v>
      </c>
    </row>
    <row r="8" spans="1:15" ht="15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customHeight="1" x14ac:dyDescent="0.25">
      <c r="A16" s="6"/>
      <c r="B16" s="6"/>
      <c r="C16" s="6"/>
      <c r="D16" s="6"/>
      <c r="E16" s="6"/>
      <c r="F16" s="6"/>
      <c r="G16" s="6" t="s">
        <v>210</v>
      </c>
      <c r="H16" s="6"/>
      <c r="I16" s="6"/>
      <c r="J16" s="6"/>
      <c r="K16" s="6"/>
      <c r="L16" s="6"/>
      <c r="M16" s="6"/>
      <c r="N16" s="6"/>
      <c r="O16" s="6"/>
    </row>
    <row r="17" spans="1:15" ht="15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O100"/>
  <sheetViews>
    <sheetView topLeftCell="A73" zoomScale="70" zoomScaleNormal="70" workbookViewId="0">
      <selection activeCell="M27" sqref="M27"/>
    </sheetView>
  </sheetViews>
  <sheetFormatPr baseColWidth="10" defaultColWidth="14.42578125" defaultRowHeight="15" customHeight="1" x14ac:dyDescent="0.25"/>
  <cols>
    <col min="1" max="1" width="8.42578125" customWidth="1"/>
    <col min="2" max="2" width="34.28515625" customWidth="1"/>
    <col min="3" max="3" width="13.5703125" customWidth="1"/>
    <col min="4" max="4" width="14.42578125" customWidth="1"/>
    <col min="5" max="5" width="14.7109375" customWidth="1"/>
    <col min="6" max="6" width="14.140625" customWidth="1"/>
    <col min="7" max="7" width="15.85546875" customWidth="1"/>
    <col min="8" max="8" width="11.5703125" customWidth="1"/>
    <col min="9" max="9" width="11.7109375" customWidth="1"/>
    <col min="10" max="10" width="13.42578125" customWidth="1"/>
    <col min="11" max="11" width="17.42578125" customWidth="1"/>
    <col min="12" max="12" width="14.42578125" customWidth="1"/>
    <col min="13" max="13" width="17.28515625" customWidth="1"/>
    <col min="14" max="14" width="16.42578125" customWidth="1"/>
    <col min="15" max="15" width="14.710937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30" customHeight="1" x14ac:dyDescent="0.25">
      <c r="A5" s="1">
        <v>1</v>
      </c>
      <c r="B5" s="1" t="s">
        <v>211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25">
      <c r="A6" s="10">
        <f t="shared" ref="A6:A12" si="0">+A5+0.1</f>
        <v>1.1000000000000001</v>
      </c>
      <c r="B6" s="3" t="s">
        <v>212</v>
      </c>
      <c r="C6" s="4">
        <v>4</v>
      </c>
      <c r="D6" s="4">
        <v>12</v>
      </c>
      <c r="E6" s="4">
        <f>32+1</f>
        <v>33</v>
      </c>
      <c r="F6" s="4">
        <v>26</v>
      </c>
      <c r="G6" s="4">
        <f>3</f>
        <v>3</v>
      </c>
      <c r="H6" s="4">
        <v>28</v>
      </c>
      <c r="I6" s="4">
        <v>21</v>
      </c>
      <c r="J6" s="4">
        <f>37</f>
        <v>37</v>
      </c>
      <c r="K6" s="4">
        <f>20</f>
        <v>20</v>
      </c>
      <c r="L6" s="35">
        <f>2+20</f>
        <v>22</v>
      </c>
      <c r="M6" s="4">
        <f>28</f>
        <v>28</v>
      </c>
      <c r="N6" s="4">
        <f>1+20</f>
        <v>21</v>
      </c>
      <c r="O6" s="5">
        <f t="shared" ref="O6:O12" si="1">SUM(C6:N6)</f>
        <v>255</v>
      </c>
    </row>
    <row r="7" spans="1:15" ht="33" customHeight="1" x14ac:dyDescent="0.25">
      <c r="A7" s="10">
        <f t="shared" si="0"/>
        <v>1.2000000000000002</v>
      </c>
      <c r="B7" s="3" t="s">
        <v>213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35">
        <v>0</v>
      </c>
      <c r="M7" s="4">
        <v>0</v>
      </c>
      <c r="N7" s="4">
        <v>0</v>
      </c>
      <c r="O7" s="5">
        <f t="shared" si="1"/>
        <v>0</v>
      </c>
    </row>
    <row r="8" spans="1:15" ht="33" customHeight="1" x14ac:dyDescent="0.25">
      <c r="A8" s="10">
        <f t="shared" si="0"/>
        <v>1.3000000000000003</v>
      </c>
      <c r="B8" s="3" t="s">
        <v>214</v>
      </c>
      <c r="C8" s="4">
        <v>1</v>
      </c>
      <c r="D8" s="4">
        <v>4</v>
      </c>
      <c r="E8" s="4">
        <f>2</f>
        <v>2</v>
      </c>
      <c r="F8" s="4">
        <v>4</v>
      </c>
      <c r="G8" s="4">
        <f>2</f>
        <v>2</v>
      </c>
      <c r="H8" s="4">
        <v>3</v>
      </c>
      <c r="I8" s="4">
        <v>0</v>
      </c>
      <c r="J8" s="4">
        <f>9</f>
        <v>9</v>
      </c>
      <c r="K8" s="4">
        <f>5</f>
        <v>5</v>
      </c>
      <c r="L8" s="35">
        <v>0</v>
      </c>
      <c r="M8" s="4">
        <f>4</f>
        <v>4</v>
      </c>
      <c r="N8" s="4">
        <f>1</f>
        <v>1</v>
      </c>
      <c r="O8" s="5">
        <f t="shared" si="1"/>
        <v>35</v>
      </c>
    </row>
    <row r="9" spans="1:15" ht="33" customHeight="1" x14ac:dyDescent="0.25">
      <c r="A9" s="10">
        <f t="shared" si="0"/>
        <v>1.4000000000000004</v>
      </c>
      <c r="B9" s="3" t="s">
        <v>215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35">
        <v>0</v>
      </c>
      <c r="M9" s="4">
        <v>0</v>
      </c>
      <c r="N9" s="4">
        <v>0</v>
      </c>
      <c r="O9" s="5">
        <f t="shared" si="1"/>
        <v>0</v>
      </c>
    </row>
    <row r="10" spans="1:15" ht="33" customHeight="1" x14ac:dyDescent="0.25">
      <c r="A10" s="10">
        <f t="shared" si="0"/>
        <v>1.5000000000000004</v>
      </c>
      <c r="B10" s="3" t="s">
        <v>216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35">
        <f>1</f>
        <v>1</v>
      </c>
      <c r="M10" s="4">
        <v>0</v>
      </c>
      <c r="N10" s="4">
        <v>0</v>
      </c>
      <c r="O10" s="5">
        <f t="shared" si="1"/>
        <v>1</v>
      </c>
    </row>
    <row r="11" spans="1:15" ht="33" customHeight="1" x14ac:dyDescent="0.25">
      <c r="A11" s="10">
        <f t="shared" si="0"/>
        <v>1.6000000000000005</v>
      </c>
      <c r="B11" s="3" t="s">
        <v>217</v>
      </c>
      <c r="C11" s="4">
        <v>432</v>
      </c>
      <c r="D11" s="4">
        <v>484</v>
      </c>
      <c r="E11" s="4">
        <f>1+8+543+11</f>
        <v>563</v>
      </c>
      <c r="F11" s="4">
        <v>524</v>
      </c>
      <c r="G11" s="4">
        <f>5+531</f>
        <v>536</v>
      </c>
      <c r="H11" s="4">
        <v>664</v>
      </c>
      <c r="I11" s="4">
        <v>299</v>
      </c>
      <c r="J11" s="4">
        <f>5+532+3</f>
        <v>540</v>
      </c>
      <c r="K11" s="4">
        <f>4+9+513+4</f>
        <v>530</v>
      </c>
      <c r="L11" s="35">
        <f>8+550+4+1+2</f>
        <v>565</v>
      </c>
      <c r="M11" s="4">
        <f>2+505+6+1</f>
        <v>514</v>
      </c>
      <c r="N11" s="4">
        <f>1+3+1+459</f>
        <v>464</v>
      </c>
      <c r="O11" s="5">
        <f t="shared" si="1"/>
        <v>6115</v>
      </c>
    </row>
    <row r="12" spans="1:15" ht="33" customHeight="1" x14ac:dyDescent="0.25">
      <c r="A12" s="10">
        <f t="shared" si="0"/>
        <v>1.7000000000000006</v>
      </c>
      <c r="B12" s="3" t="s">
        <v>218</v>
      </c>
      <c r="C12" s="4">
        <v>1</v>
      </c>
      <c r="D12" s="4">
        <v>2</v>
      </c>
      <c r="E12" s="4">
        <f>5</f>
        <v>5</v>
      </c>
      <c r="F12" s="4">
        <v>9</v>
      </c>
      <c r="G12" s="4">
        <v>4</v>
      </c>
      <c r="H12" s="4">
        <v>2</v>
      </c>
      <c r="I12" s="4">
        <v>5</v>
      </c>
      <c r="J12" s="4">
        <v>13</v>
      </c>
      <c r="K12" s="9">
        <f>7</f>
        <v>7</v>
      </c>
      <c r="L12" s="35">
        <v>3</v>
      </c>
      <c r="M12" s="4">
        <f>8</f>
        <v>8</v>
      </c>
      <c r="N12" s="9">
        <v>3</v>
      </c>
      <c r="O12" s="5">
        <f t="shared" si="1"/>
        <v>62</v>
      </c>
    </row>
    <row r="13" spans="1:15" ht="30" customHeight="1" x14ac:dyDescent="0.25">
      <c r="A13" s="1">
        <f>+A5+1</f>
        <v>2</v>
      </c>
      <c r="B13" s="1" t="s">
        <v>219</v>
      </c>
      <c r="C13" s="1"/>
      <c r="D13" s="1"/>
      <c r="E13" s="1"/>
      <c r="F13" s="1"/>
      <c r="G13" s="1"/>
      <c r="H13" s="1"/>
      <c r="I13" s="1"/>
      <c r="J13" s="1"/>
      <c r="K13" s="1"/>
      <c r="L13" s="36"/>
      <c r="M13" s="1"/>
      <c r="N13" s="1"/>
      <c r="O13" s="1"/>
    </row>
    <row r="14" spans="1:15" ht="33" customHeight="1" x14ac:dyDescent="0.25">
      <c r="A14" s="10">
        <f t="shared" ref="A14:A20" si="2">+A13+0.1</f>
        <v>2.1</v>
      </c>
      <c r="B14" s="3" t="s">
        <v>212</v>
      </c>
      <c r="C14" s="4">
        <v>1</v>
      </c>
      <c r="D14" s="4">
        <v>2</v>
      </c>
      <c r="E14" s="4">
        <f>2</f>
        <v>2</v>
      </c>
      <c r="F14" s="4">
        <v>7</v>
      </c>
      <c r="G14" s="4">
        <f>2</f>
        <v>2</v>
      </c>
      <c r="H14" s="4">
        <v>3</v>
      </c>
      <c r="I14" s="4">
        <v>2</v>
      </c>
      <c r="J14" s="4">
        <f>1</f>
        <v>1</v>
      </c>
      <c r="K14" s="4">
        <f>48+4</f>
        <v>52</v>
      </c>
      <c r="L14" s="35">
        <f>1</f>
        <v>1</v>
      </c>
      <c r="M14" s="4">
        <f>8+5</f>
        <v>13</v>
      </c>
      <c r="N14" s="4">
        <f>4</f>
        <v>4</v>
      </c>
      <c r="O14" s="5">
        <f t="shared" ref="O14:O20" si="3">SUM(C14:N14)</f>
        <v>90</v>
      </c>
    </row>
    <row r="15" spans="1:15" ht="33" customHeight="1" x14ac:dyDescent="0.25">
      <c r="A15" s="10">
        <f t="shared" si="2"/>
        <v>2.2000000000000002</v>
      </c>
      <c r="B15" s="3" t="s">
        <v>213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5">
        <f t="shared" si="3"/>
        <v>0</v>
      </c>
    </row>
    <row r="16" spans="1:15" ht="33" customHeight="1" x14ac:dyDescent="0.25">
      <c r="A16" s="10">
        <f t="shared" si="2"/>
        <v>2.3000000000000003</v>
      </c>
      <c r="B16" s="3" t="s">
        <v>214</v>
      </c>
      <c r="C16" s="4">
        <v>0</v>
      </c>
      <c r="D16" s="4">
        <v>2</v>
      </c>
      <c r="E16" s="4">
        <v>0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5">
        <f t="shared" si="3"/>
        <v>4</v>
      </c>
    </row>
    <row r="17" spans="1:15" ht="33" customHeight="1" x14ac:dyDescent="0.25">
      <c r="A17" s="10">
        <f t="shared" si="2"/>
        <v>2.4000000000000004</v>
      </c>
      <c r="B17" s="3" t="s">
        <v>215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5">
        <f t="shared" si="3"/>
        <v>0</v>
      </c>
    </row>
    <row r="18" spans="1:15" ht="33" customHeight="1" x14ac:dyDescent="0.25">
      <c r="A18" s="10">
        <f t="shared" si="2"/>
        <v>2.5000000000000004</v>
      </c>
      <c r="B18" s="3" t="s">
        <v>216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5">
        <f t="shared" si="3"/>
        <v>0</v>
      </c>
    </row>
    <row r="19" spans="1:15" ht="33" customHeight="1" x14ac:dyDescent="0.25">
      <c r="A19" s="10">
        <f t="shared" si="2"/>
        <v>2.6000000000000005</v>
      </c>
      <c r="B19" s="3" t="s">
        <v>217</v>
      </c>
      <c r="C19" s="4">
        <v>5</v>
      </c>
      <c r="D19" s="4">
        <v>30</v>
      </c>
      <c r="E19" s="4">
        <f>25+20</f>
        <v>45</v>
      </c>
      <c r="F19" s="4">
        <v>25</v>
      </c>
      <c r="G19" s="4">
        <f>7+4+22</f>
        <v>33</v>
      </c>
      <c r="H19" s="4">
        <v>40</v>
      </c>
      <c r="I19" s="4">
        <v>40</v>
      </c>
      <c r="J19" s="4">
        <f>5+12+53</f>
        <v>70</v>
      </c>
      <c r="K19" s="4">
        <f>6+14+31</f>
        <v>51</v>
      </c>
      <c r="L19" s="35">
        <f>2+11+3</f>
        <v>16</v>
      </c>
      <c r="M19" s="4">
        <f>3+7+8</f>
        <v>18</v>
      </c>
      <c r="N19" s="4">
        <f>2+1+6</f>
        <v>9</v>
      </c>
      <c r="O19" s="5">
        <f t="shared" si="3"/>
        <v>382</v>
      </c>
    </row>
    <row r="20" spans="1:15" ht="33" customHeight="1" x14ac:dyDescent="0.25">
      <c r="A20" s="10">
        <f t="shared" si="2"/>
        <v>2.7000000000000006</v>
      </c>
      <c r="B20" s="3" t="s">
        <v>218</v>
      </c>
      <c r="C20" s="4">
        <v>0</v>
      </c>
      <c r="D20" s="4">
        <v>2</v>
      </c>
      <c r="E20" s="4">
        <v>2</v>
      </c>
      <c r="F20" s="4">
        <v>5</v>
      </c>
      <c r="G20" s="4">
        <v>2</v>
      </c>
      <c r="H20" s="4">
        <v>3</v>
      </c>
      <c r="I20" s="4">
        <v>4</v>
      </c>
      <c r="J20" s="4">
        <v>1</v>
      </c>
      <c r="K20" s="9">
        <f>2</f>
        <v>2</v>
      </c>
      <c r="L20" s="35">
        <v>2</v>
      </c>
      <c r="M20" s="4">
        <f>8</f>
        <v>8</v>
      </c>
      <c r="N20" s="9">
        <v>2</v>
      </c>
      <c r="O20" s="5">
        <f t="shared" si="3"/>
        <v>33</v>
      </c>
    </row>
    <row r="21" spans="1:15" ht="30" customHeight="1" x14ac:dyDescent="0.25">
      <c r="A21" s="1">
        <f>+A13+1</f>
        <v>3</v>
      </c>
      <c r="B21" s="1" t="s">
        <v>220</v>
      </c>
      <c r="C21" s="1"/>
      <c r="D21" s="1"/>
      <c r="E21" s="1"/>
      <c r="F21" s="1"/>
      <c r="G21" s="1"/>
      <c r="H21" s="1"/>
      <c r="I21" s="1"/>
      <c r="J21" s="1"/>
      <c r="K21" s="1"/>
      <c r="L21" s="36"/>
      <c r="M21" s="1"/>
      <c r="N21" s="1"/>
      <c r="O21" s="1"/>
    </row>
    <row r="22" spans="1:15" ht="33" customHeight="1" x14ac:dyDescent="0.25">
      <c r="A22" s="10">
        <f t="shared" ref="A22:A28" si="4">+A21+0.1</f>
        <v>3.1</v>
      </c>
      <c r="B22" s="3" t="s">
        <v>212</v>
      </c>
      <c r="C22" s="4">
        <v>1</v>
      </c>
      <c r="D22" s="4">
        <v>2</v>
      </c>
      <c r="E22" s="4">
        <v>0</v>
      </c>
      <c r="F22" s="4">
        <v>6</v>
      </c>
      <c r="G22" s="4">
        <v>0</v>
      </c>
      <c r="H22" s="4">
        <v>2</v>
      </c>
      <c r="I22" s="4">
        <v>2</v>
      </c>
      <c r="J22" s="4">
        <f>1</f>
        <v>1</v>
      </c>
      <c r="K22" s="4">
        <f>47+3</f>
        <v>50</v>
      </c>
      <c r="L22" s="35">
        <f>1</f>
        <v>1</v>
      </c>
      <c r="M22" s="4">
        <f>2+1</f>
        <v>3</v>
      </c>
      <c r="N22" s="4">
        <f>1</f>
        <v>1</v>
      </c>
      <c r="O22" s="5">
        <f t="shared" ref="O22:O28" si="5">SUM(C22:N22)</f>
        <v>69</v>
      </c>
    </row>
    <row r="23" spans="1:15" ht="33" customHeight="1" x14ac:dyDescent="0.25">
      <c r="A23" s="10">
        <f t="shared" si="4"/>
        <v>3.2</v>
      </c>
      <c r="B23" s="3" t="s">
        <v>213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5">
        <f t="shared" si="5"/>
        <v>0</v>
      </c>
    </row>
    <row r="24" spans="1:15" ht="33" customHeight="1" x14ac:dyDescent="0.25">
      <c r="A24" s="10">
        <f t="shared" si="4"/>
        <v>3.3000000000000003</v>
      </c>
      <c r="B24" s="3" t="s">
        <v>214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5">
        <f t="shared" si="5"/>
        <v>2</v>
      </c>
    </row>
    <row r="25" spans="1:15" ht="33" customHeight="1" x14ac:dyDescent="0.25">
      <c r="A25" s="10">
        <f t="shared" si="4"/>
        <v>3.4000000000000004</v>
      </c>
      <c r="B25" s="3" t="s">
        <v>215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5">
        <f t="shared" si="5"/>
        <v>0</v>
      </c>
    </row>
    <row r="26" spans="1:15" ht="33" customHeight="1" x14ac:dyDescent="0.25">
      <c r="A26" s="10">
        <f t="shared" si="4"/>
        <v>3.5000000000000004</v>
      </c>
      <c r="B26" s="3" t="s">
        <v>216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5">
        <f t="shared" si="5"/>
        <v>0</v>
      </c>
    </row>
    <row r="27" spans="1:15" ht="33" customHeight="1" x14ac:dyDescent="0.25">
      <c r="A27" s="10">
        <f t="shared" si="4"/>
        <v>3.6000000000000005</v>
      </c>
      <c r="B27" s="3" t="s">
        <v>217</v>
      </c>
      <c r="C27" s="4">
        <v>2</v>
      </c>
      <c r="D27" s="4">
        <v>17</v>
      </c>
      <c r="E27" s="4">
        <f>11+4</f>
        <v>15</v>
      </c>
      <c r="F27" s="4">
        <v>5</v>
      </c>
      <c r="G27" s="4">
        <f>3+3+1</f>
        <v>7</v>
      </c>
      <c r="H27" s="4">
        <v>18</v>
      </c>
      <c r="I27" s="4">
        <v>9</v>
      </c>
      <c r="J27" s="4">
        <f>6+5</f>
        <v>11</v>
      </c>
      <c r="K27" s="4">
        <f>1+13</f>
        <v>14</v>
      </c>
      <c r="L27" s="35">
        <f>1+3</f>
        <v>4</v>
      </c>
      <c r="M27" s="4">
        <f>2+4+1</f>
        <v>7</v>
      </c>
      <c r="N27" s="4">
        <f>1+1</f>
        <v>2</v>
      </c>
      <c r="O27" s="5">
        <f t="shared" si="5"/>
        <v>111</v>
      </c>
    </row>
    <row r="28" spans="1:15" ht="33" customHeight="1" x14ac:dyDescent="0.25">
      <c r="A28" s="10">
        <f t="shared" si="4"/>
        <v>3.7000000000000006</v>
      </c>
      <c r="B28" s="3" t="s">
        <v>218</v>
      </c>
      <c r="C28" s="4">
        <v>0</v>
      </c>
      <c r="D28" s="4">
        <v>2</v>
      </c>
      <c r="E28" s="4">
        <v>2</v>
      </c>
      <c r="F28" s="4">
        <v>5</v>
      </c>
      <c r="G28" s="4">
        <v>2</v>
      </c>
      <c r="H28" s="4">
        <v>3</v>
      </c>
      <c r="I28" s="4">
        <v>4</v>
      </c>
      <c r="J28" s="4">
        <v>1</v>
      </c>
      <c r="K28" s="9">
        <f>2</f>
        <v>2</v>
      </c>
      <c r="L28" s="35">
        <v>2</v>
      </c>
      <c r="M28" s="4">
        <f>8</f>
        <v>8</v>
      </c>
      <c r="N28" s="9">
        <v>2</v>
      </c>
      <c r="O28" s="5">
        <f t="shared" si="5"/>
        <v>33</v>
      </c>
    </row>
    <row r="29" spans="1:15" ht="30" customHeight="1" x14ac:dyDescent="0.25">
      <c r="A29" s="1">
        <f>+A21+1</f>
        <v>4</v>
      </c>
      <c r="B29" s="1" t="s">
        <v>221</v>
      </c>
      <c r="C29" s="1"/>
      <c r="D29" s="1"/>
      <c r="E29" s="1"/>
      <c r="F29" s="1"/>
      <c r="G29" s="1"/>
      <c r="H29" s="1"/>
      <c r="I29" s="1"/>
      <c r="J29" s="1"/>
      <c r="K29" s="1"/>
      <c r="L29" s="36"/>
      <c r="M29" s="1"/>
      <c r="N29" s="1"/>
      <c r="O29" s="1"/>
    </row>
    <row r="30" spans="1:15" ht="33" customHeight="1" x14ac:dyDescent="0.25">
      <c r="A30" s="10">
        <f t="shared" ref="A30:A36" si="6">+A29+0.1</f>
        <v>4.0999999999999996</v>
      </c>
      <c r="B30" s="3" t="s">
        <v>212</v>
      </c>
      <c r="C30" s="4">
        <v>0</v>
      </c>
      <c r="D30" s="4">
        <v>0</v>
      </c>
      <c r="E30" s="4">
        <f>2</f>
        <v>2</v>
      </c>
      <c r="F30" s="4">
        <v>1</v>
      </c>
      <c r="G30" s="4">
        <f>2</f>
        <v>2</v>
      </c>
      <c r="H30" s="4">
        <v>1</v>
      </c>
      <c r="I30" s="4">
        <v>0</v>
      </c>
      <c r="J30" s="4">
        <v>0</v>
      </c>
      <c r="K30" s="4">
        <f>1+1</f>
        <v>2</v>
      </c>
      <c r="L30" s="35">
        <f>0</f>
        <v>0</v>
      </c>
      <c r="M30" s="4">
        <f>6+4</f>
        <v>10</v>
      </c>
      <c r="N30" s="4">
        <f>3</f>
        <v>3</v>
      </c>
      <c r="O30" s="5">
        <f t="shared" ref="O30:O36" si="7">SUM(C30:N30)</f>
        <v>21</v>
      </c>
    </row>
    <row r="31" spans="1:15" ht="33" customHeight="1" x14ac:dyDescent="0.25">
      <c r="A31" s="10">
        <f t="shared" si="6"/>
        <v>4.1999999999999993</v>
      </c>
      <c r="B31" s="3" t="s">
        <v>213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5">
        <f t="shared" si="7"/>
        <v>0</v>
      </c>
    </row>
    <row r="32" spans="1:15" ht="33" customHeight="1" x14ac:dyDescent="0.25">
      <c r="A32" s="10">
        <f t="shared" si="6"/>
        <v>4.2999999999999989</v>
      </c>
      <c r="B32" s="3" t="s">
        <v>214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5">
        <f t="shared" si="7"/>
        <v>0</v>
      </c>
    </row>
    <row r="33" spans="1:15" ht="33" customHeight="1" x14ac:dyDescent="0.25">
      <c r="A33" s="10">
        <f t="shared" si="6"/>
        <v>4.3999999999999986</v>
      </c>
      <c r="B33" s="3" t="s">
        <v>215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5">
        <f t="shared" si="7"/>
        <v>0</v>
      </c>
    </row>
    <row r="34" spans="1:15" ht="33" customHeight="1" x14ac:dyDescent="0.25">
      <c r="A34" s="10">
        <f t="shared" si="6"/>
        <v>4.4999999999999982</v>
      </c>
      <c r="B34" s="3" t="s">
        <v>216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5">
        <f t="shared" si="7"/>
        <v>0</v>
      </c>
    </row>
    <row r="35" spans="1:15" ht="33" customHeight="1" x14ac:dyDescent="0.25">
      <c r="A35" s="10">
        <f t="shared" si="6"/>
        <v>4.5999999999999979</v>
      </c>
      <c r="B35" s="3" t="s">
        <v>217</v>
      </c>
      <c r="C35" s="4">
        <v>3</v>
      </c>
      <c r="D35" s="4">
        <v>13</v>
      </c>
      <c r="E35" s="4">
        <f>14+16</f>
        <v>30</v>
      </c>
      <c r="F35" s="4">
        <v>20</v>
      </c>
      <c r="G35" s="4">
        <f>4+1+21</f>
        <v>26</v>
      </c>
      <c r="H35" s="4">
        <v>24</v>
      </c>
      <c r="I35" s="4">
        <v>31</v>
      </c>
      <c r="J35" s="4">
        <f>5+6+48</f>
        <v>59</v>
      </c>
      <c r="K35" s="4">
        <f>5+14+18</f>
        <v>37</v>
      </c>
      <c r="L35" s="35">
        <f>2+10</f>
        <v>12</v>
      </c>
      <c r="M35" s="4">
        <f>1+3+7</f>
        <v>11</v>
      </c>
      <c r="N35" s="4">
        <f>1+1+5</f>
        <v>7</v>
      </c>
      <c r="O35" s="5">
        <f t="shared" si="7"/>
        <v>273</v>
      </c>
    </row>
    <row r="36" spans="1:15" ht="33" customHeight="1" x14ac:dyDescent="0.25">
      <c r="A36" s="10">
        <f t="shared" si="6"/>
        <v>4.6999999999999975</v>
      </c>
      <c r="B36" s="3" t="s">
        <v>218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9">
        <v>0</v>
      </c>
      <c r="L36" s="9">
        <v>0</v>
      </c>
      <c r="M36" s="4">
        <v>0</v>
      </c>
      <c r="N36" s="9">
        <v>0</v>
      </c>
      <c r="O36" s="5">
        <f t="shared" si="7"/>
        <v>0</v>
      </c>
    </row>
    <row r="37" spans="1:15" ht="30" customHeight="1" x14ac:dyDescent="0.25">
      <c r="A37" s="1">
        <f>+A29+1</f>
        <v>5</v>
      </c>
      <c r="B37" s="1" t="s">
        <v>222</v>
      </c>
      <c r="C37" s="1"/>
      <c r="D37" s="1"/>
      <c r="E37" s="1"/>
      <c r="F37" s="1"/>
      <c r="G37" s="1"/>
      <c r="H37" s="1"/>
      <c r="I37" s="1"/>
      <c r="J37" s="1"/>
      <c r="K37" s="1"/>
      <c r="L37" s="36"/>
      <c r="M37" s="1"/>
      <c r="N37" s="1"/>
      <c r="O37" s="1"/>
    </row>
    <row r="38" spans="1:15" ht="33" customHeight="1" x14ac:dyDescent="0.25">
      <c r="A38" s="10">
        <f t="shared" ref="A38:A40" si="8">+A37+0.1</f>
        <v>5.0999999999999996</v>
      </c>
      <c r="B38" s="3" t="s">
        <v>223</v>
      </c>
      <c r="C38" s="4">
        <v>60</v>
      </c>
      <c r="D38" s="4">
        <v>57</v>
      </c>
      <c r="E38" s="4">
        <f>3+18</f>
        <v>21</v>
      </c>
      <c r="F38" s="4">
        <v>21</v>
      </c>
      <c r="G38" s="4">
        <f>2+14</f>
        <v>16</v>
      </c>
      <c r="H38" s="4">
        <v>13</v>
      </c>
      <c r="I38" s="4">
        <v>40</v>
      </c>
      <c r="J38" s="4">
        <f>1+28</f>
        <v>29</v>
      </c>
      <c r="K38" s="4">
        <f>1+97</f>
        <v>98</v>
      </c>
      <c r="L38" s="35">
        <f>1+2</f>
        <v>3</v>
      </c>
      <c r="M38" s="4">
        <f>2+13</f>
        <v>15</v>
      </c>
      <c r="N38" s="4">
        <f>3+23</f>
        <v>26</v>
      </c>
      <c r="O38" s="5">
        <f t="shared" ref="O38:O40" si="9">SUM(C38:N38)</f>
        <v>399</v>
      </c>
    </row>
    <row r="39" spans="1:15" ht="33" customHeight="1" x14ac:dyDescent="0.25">
      <c r="A39" s="10">
        <f t="shared" si="8"/>
        <v>5.1999999999999993</v>
      </c>
      <c r="B39" s="3" t="s">
        <v>224</v>
      </c>
      <c r="C39" s="4">
        <v>3</v>
      </c>
      <c r="D39" s="4">
        <v>61</v>
      </c>
      <c r="E39" s="4">
        <f>46</f>
        <v>46</v>
      </c>
      <c r="F39" s="4">
        <v>8</v>
      </c>
      <c r="G39" s="4">
        <f>5</f>
        <v>5</v>
      </c>
      <c r="H39" s="4">
        <v>6</v>
      </c>
      <c r="I39" s="4">
        <v>4</v>
      </c>
      <c r="J39" s="4">
        <f>6</f>
        <v>6</v>
      </c>
      <c r="K39" s="4">
        <f>18</f>
        <v>18</v>
      </c>
      <c r="L39" s="35">
        <f>62</f>
        <v>62</v>
      </c>
      <c r="M39" s="4">
        <v>0</v>
      </c>
      <c r="N39" s="4">
        <v>0</v>
      </c>
      <c r="O39" s="5">
        <f t="shared" si="9"/>
        <v>219</v>
      </c>
    </row>
    <row r="40" spans="1:15" ht="33" customHeight="1" x14ac:dyDescent="0.25">
      <c r="A40" s="10">
        <f t="shared" si="8"/>
        <v>5.2999999999999989</v>
      </c>
      <c r="B40" s="3" t="s">
        <v>225</v>
      </c>
      <c r="C40" s="4">
        <v>66</v>
      </c>
      <c r="D40" s="4">
        <v>44</v>
      </c>
      <c r="E40" s="4">
        <f>7+60+13+93+3+13</f>
        <v>189</v>
      </c>
      <c r="F40" s="4">
        <v>95</v>
      </c>
      <c r="G40" s="4">
        <f>6+44+12+11+12+3+1</f>
        <v>89</v>
      </c>
      <c r="H40" s="4">
        <v>116</v>
      </c>
      <c r="I40" s="4">
        <v>69</v>
      </c>
      <c r="J40" s="4">
        <f>10+9+2+2+39+17</f>
        <v>79</v>
      </c>
      <c r="K40" s="4">
        <f>3+27+77+2+7+39</f>
        <v>155</v>
      </c>
      <c r="L40" s="35">
        <f>3+3+9+63+16+9</f>
        <v>103</v>
      </c>
      <c r="M40" s="4">
        <f>4+7+2+14+98+99</f>
        <v>224</v>
      </c>
      <c r="N40" s="9">
        <f>2+3+87+13+10+8+10</f>
        <v>133</v>
      </c>
      <c r="O40" s="5">
        <f t="shared" si="9"/>
        <v>1362</v>
      </c>
    </row>
    <row r="41" spans="1:15" ht="30" customHeight="1" x14ac:dyDescent="0.25">
      <c r="A41" s="1">
        <f>+A37+1</f>
        <v>6</v>
      </c>
      <c r="B41" s="1" t="s">
        <v>226</v>
      </c>
      <c r="C41" s="1"/>
      <c r="D41" s="1"/>
      <c r="E41" s="1"/>
      <c r="F41" s="1"/>
      <c r="G41" s="1"/>
      <c r="H41" s="1"/>
      <c r="I41" s="1"/>
      <c r="J41" s="1"/>
      <c r="K41" s="1"/>
      <c r="L41" s="36"/>
      <c r="M41" s="1"/>
      <c r="N41" s="1"/>
      <c r="O41" s="1"/>
    </row>
    <row r="42" spans="1:15" ht="33" customHeight="1" x14ac:dyDescent="0.25">
      <c r="A42" s="10">
        <f t="shared" ref="A42:A45" si="10">+A41+0.1</f>
        <v>6.1</v>
      </c>
      <c r="B42" s="3" t="s">
        <v>227</v>
      </c>
      <c r="C42" s="4">
        <v>572</v>
      </c>
      <c r="D42" s="4">
        <v>565</v>
      </c>
      <c r="E42" s="4">
        <v>656</v>
      </c>
      <c r="F42" s="4">
        <v>449</v>
      </c>
      <c r="G42" s="4">
        <v>594</v>
      </c>
      <c r="H42" s="4">
        <v>667</v>
      </c>
      <c r="I42" s="4">
        <v>732</v>
      </c>
      <c r="J42" s="4">
        <v>642</v>
      </c>
      <c r="K42" s="4">
        <v>615</v>
      </c>
      <c r="L42" s="35">
        <v>941</v>
      </c>
      <c r="M42" s="4">
        <v>975</v>
      </c>
      <c r="N42" s="4">
        <v>1006</v>
      </c>
      <c r="O42" s="5">
        <f t="shared" ref="O42:O45" si="11">SUM(C42:N42)</f>
        <v>8414</v>
      </c>
    </row>
    <row r="43" spans="1:15" ht="33" customHeight="1" x14ac:dyDescent="0.25">
      <c r="A43" s="10">
        <f t="shared" si="10"/>
        <v>6.1999999999999993</v>
      </c>
      <c r="B43" s="3" t="s">
        <v>228</v>
      </c>
      <c r="C43" s="4">
        <v>861</v>
      </c>
      <c r="D43" s="4">
        <v>800</v>
      </c>
      <c r="E43" s="4">
        <v>1009</v>
      </c>
      <c r="F43" s="4">
        <v>691</v>
      </c>
      <c r="G43" s="4">
        <v>832</v>
      </c>
      <c r="H43" s="4">
        <v>738</v>
      </c>
      <c r="I43" s="4">
        <v>775</v>
      </c>
      <c r="J43" s="4">
        <v>644</v>
      </c>
      <c r="K43" s="4">
        <v>729</v>
      </c>
      <c r="L43" s="35">
        <v>742</v>
      </c>
      <c r="M43" s="4">
        <v>617</v>
      </c>
      <c r="N43" s="9">
        <v>595</v>
      </c>
      <c r="O43" s="5">
        <f t="shared" si="11"/>
        <v>9033</v>
      </c>
    </row>
    <row r="44" spans="1:15" ht="33" customHeight="1" x14ac:dyDescent="0.25">
      <c r="A44" s="10">
        <f t="shared" si="10"/>
        <v>6.2999999999999989</v>
      </c>
      <c r="B44" s="3" t="s">
        <v>229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35">
        <v>0</v>
      </c>
      <c r="M44" s="4">
        <v>0</v>
      </c>
      <c r="N44" s="4">
        <v>0</v>
      </c>
      <c r="O44" s="5">
        <f t="shared" si="11"/>
        <v>0</v>
      </c>
    </row>
    <row r="45" spans="1:15" ht="33" customHeight="1" x14ac:dyDescent="0.25">
      <c r="A45" s="16">
        <f t="shared" si="10"/>
        <v>6.3999999999999986</v>
      </c>
      <c r="B45" s="27" t="s">
        <v>75</v>
      </c>
      <c r="C45" s="5">
        <v>1433</v>
      </c>
      <c r="D45" s="5">
        <v>1365</v>
      </c>
      <c r="E45" s="5">
        <f>SUM(E42:E44)</f>
        <v>1665</v>
      </c>
      <c r="F45" s="5">
        <v>1140</v>
      </c>
      <c r="G45" s="5">
        <f t="shared" ref="G45" si="12">SUM(G42:G44)</f>
        <v>1426</v>
      </c>
      <c r="H45" s="5">
        <v>1405</v>
      </c>
      <c r="I45" s="5">
        <v>1507</v>
      </c>
      <c r="J45" s="5">
        <f t="shared" ref="J45:N45" si="13">SUM(J42:J44)</f>
        <v>1286</v>
      </c>
      <c r="K45" s="5">
        <f t="shared" si="13"/>
        <v>1344</v>
      </c>
      <c r="L45" s="5">
        <f t="shared" si="13"/>
        <v>1683</v>
      </c>
      <c r="M45" s="5">
        <f t="shared" si="13"/>
        <v>1592</v>
      </c>
      <c r="N45" s="5">
        <f t="shared" si="13"/>
        <v>1601</v>
      </c>
      <c r="O45" s="5">
        <f t="shared" si="11"/>
        <v>17447</v>
      </c>
    </row>
    <row r="46" spans="1:15" ht="30" customHeight="1" x14ac:dyDescent="0.25">
      <c r="A46" s="1">
        <f>+A41+1</f>
        <v>7</v>
      </c>
      <c r="B46" s="1" t="s">
        <v>230</v>
      </c>
      <c r="C46" s="1"/>
      <c r="D46" s="1"/>
      <c r="E46" s="1"/>
      <c r="F46" s="1"/>
      <c r="G46" s="1"/>
      <c r="H46" s="1"/>
      <c r="I46" s="1"/>
      <c r="J46" s="1"/>
      <c r="K46" s="1"/>
      <c r="L46" s="36"/>
      <c r="M46" s="1"/>
      <c r="N46" s="1"/>
      <c r="O46" s="1"/>
    </row>
    <row r="47" spans="1:15" ht="33" customHeight="1" x14ac:dyDescent="0.25">
      <c r="A47" s="10">
        <f t="shared" ref="A47:A50" si="14">+A46+0.1</f>
        <v>7.1</v>
      </c>
      <c r="B47" s="3" t="s">
        <v>227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5">
        <f t="shared" ref="O47:O50" si="15">SUM(C47:N47)</f>
        <v>0</v>
      </c>
    </row>
    <row r="48" spans="1:15" ht="33" customHeight="1" x14ac:dyDescent="0.25">
      <c r="A48" s="10">
        <f t="shared" si="14"/>
        <v>7.1999999999999993</v>
      </c>
      <c r="B48" s="3" t="s">
        <v>228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5">
        <f t="shared" si="15"/>
        <v>0</v>
      </c>
    </row>
    <row r="49" spans="1:15" ht="33" customHeight="1" x14ac:dyDescent="0.25">
      <c r="A49" s="10">
        <f t="shared" si="14"/>
        <v>7.2999999999999989</v>
      </c>
      <c r="B49" s="3" t="s">
        <v>229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5">
        <f t="shared" si="15"/>
        <v>0</v>
      </c>
    </row>
    <row r="50" spans="1:15" ht="33" customHeight="1" x14ac:dyDescent="0.25">
      <c r="A50" s="16">
        <f t="shared" si="14"/>
        <v>7.3999999999999986</v>
      </c>
      <c r="B50" s="11" t="s">
        <v>75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f t="shared" si="15"/>
        <v>0</v>
      </c>
    </row>
    <row r="51" spans="1:15" ht="30" customHeight="1" x14ac:dyDescent="0.25">
      <c r="A51" s="1">
        <f>+A46+1</f>
        <v>8</v>
      </c>
      <c r="B51" s="1" t="s">
        <v>231</v>
      </c>
      <c r="C51" s="1"/>
      <c r="D51" s="1"/>
      <c r="E51" s="1"/>
      <c r="F51" s="1"/>
      <c r="G51" s="1"/>
      <c r="H51" s="1"/>
      <c r="I51" s="1"/>
      <c r="J51" s="1"/>
      <c r="K51" s="1"/>
      <c r="L51" s="36"/>
      <c r="M51" s="1"/>
      <c r="N51" s="1"/>
      <c r="O51" s="1"/>
    </row>
    <row r="52" spans="1:15" ht="33" customHeight="1" x14ac:dyDescent="0.25">
      <c r="A52" s="10">
        <f t="shared" ref="A52:A55" si="16">+A51+0.1</f>
        <v>8.1</v>
      </c>
      <c r="B52" s="3" t="s">
        <v>227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5">
        <f t="shared" ref="O52:O55" si="17">SUM(C52:N52)</f>
        <v>0</v>
      </c>
    </row>
    <row r="53" spans="1:15" ht="33" customHeight="1" x14ac:dyDescent="0.25">
      <c r="A53" s="10">
        <f t="shared" si="16"/>
        <v>8.1999999999999993</v>
      </c>
      <c r="B53" s="3" t="s">
        <v>228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5">
        <f t="shared" si="17"/>
        <v>0</v>
      </c>
    </row>
    <row r="54" spans="1:15" ht="33" customHeight="1" x14ac:dyDescent="0.25">
      <c r="A54" s="10">
        <f t="shared" si="16"/>
        <v>8.2999999999999989</v>
      </c>
      <c r="B54" s="3" t="s">
        <v>229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5">
        <f t="shared" si="17"/>
        <v>0</v>
      </c>
    </row>
    <row r="55" spans="1:15" ht="33" customHeight="1" x14ac:dyDescent="0.25">
      <c r="A55" s="16">
        <f t="shared" si="16"/>
        <v>8.3999999999999986</v>
      </c>
      <c r="B55" s="11" t="s">
        <v>75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f t="shared" si="17"/>
        <v>0</v>
      </c>
    </row>
    <row r="56" spans="1:15" ht="30" customHeight="1" x14ac:dyDescent="0.25">
      <c r="A56" s="1">
        <f>+A51+1</f>
        <v>9</v>
      </c>
      <c r="B56" s="1" t="s">
        <v>232</v>
      </c>
      <c r="C56" s="1"/>
      <c r="D56" s="1"/>
      <c r="E56" s="1"/>
      <c r="F56" s="1"/>
      <c r="G56" s="1"/>
      <c r="H56" s="1"/>
      <c r="I56" s="1"/>
      <c r="J56" s="1"/>
      <c r="K56" s="1"/>
      <c r="L56" s="36"/>
      <c r="M56" s="1"/>
      <c r="N56" s="1"/>
      <c r="O56" s="1"/>
    </row>
    <row r="57" spans="1:15" ht="33" customHeight="1" x14ac:dyDescent="0.25">
      <c r="A57" s="10">
        <f t="shared" ref="A57:A59" si="18">+A56+0.1</f>
        <v>9.1</v>
      </c>
      <c r="B57" s="3" t="s">
        <v>227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5">
        <f t="shared" ref="O57:O60" si="19">SUM(C57:N57)</f>
        <v>0</v>
      </c>
    </row>
    <row r="58" spans="1:15" ht="33" customHeight="1" x14ac:dyDescent="0.25">
      <c r="A58" s="10">
        <f t="shared" si="18"/>
        <v>9.1999999999999993</v>
      </c>
      <c r="B58" s="3" t="s">
        <v>228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5">
        <f t="shared" si="19"/>
        <v>0</v>
      </c>
    </row>
    <row r="59" spans="1:15" ht="33" customHeight="1" x14ac:dyDescent="0.25">
      <c r="A59" s="10">
        <f t="shared" si="18"/>
        <v>9.2999999999999989</v>
      </c>
      <c r="B59" s="3" t="s">
        <v>229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5">
        <f t="shared" si="19"/>
        <v>0</v>
      </c>
    </row>
    <row r="60" spans="1:15" ht="33" customHeight="1" x14ac:dyDescent="0.25">
      <c r="A60" s="16">
        <f>+A59+0.01</f>
        <v>9.3099999999999987</v>
      </c>
      <c r="B60" s="11" t="s">
        <v>75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f t="shared" si="19"/>
        <v>0</v>
      </c>
    </row>
    <row r="61" spans="1:15" ht="30" customHeight="1" x14ac:dyDescent="0.25">
      <c r="A61" s="1">
        <f>+A56+1</f>
        <v>10</v>
      </c>
      <c r="B61" s="1" t="s">
        <v>33</v>
      </c>
      <c r="C61" s="1"/>
      <c r="D61" s="1"/>
      <c r="E61" s="1"/>
      <c r="F61" s="1"/>
      <c r="G61" s="1"/>
      <c r="H61" s="1"/>
      <c r="I61" s="1"/>
      <c r="J61" s="1"/>
      <c r="K61" s="1"/>
      <c r="L61" s="36"/>
      <c r="M61" s="1"/>
      <c r="N61" s="1"/>
      <c r="O61" s="1"/>
    </row>
    <row r="62" spans="1:15" ht="33" customHeight="1" x14ac:dyDescent="0.25">
      <c r="A62" s="10">
        <f t="shared" ref="A62:A65" si="20">+A61+0.1</f>
        <v>10.1</v>
      </c>
      <c r="B62" s="3" t="s">
        <v>227</v>
      </c>
      <c r="C62" s="28">
        <v>31700</v>
      </c>
      <c r="D62" s="28">
        <v>22800</v>
      </c>
      <c r="E62" s="28">
        <v>31100</v>
      </c>
      <c r="F62" s="29">
        <v>16800</v>
      </c>
      <c r="G62" s="29">
        <v>20900</v>
      </c>
      <c r="H62" s="30">
        <v>46600</v>
      </c>
      <c r="I62" s="28">
        <v>40000</v>
      </c>
      <c r="J62" s="28">
        <v>45842</v>
      </c>
      <c r="K62" s="28">
        <v>50560.99</v>
      </c>
      <c r="L62" s="46">
        <v>60848.22</v>
      </c>
      <c r="M62" s="29">
        <v>128669.47</v>
      </c>
      <c r="N62" s="28">
        <v>171011.1</v>
      </c>
      <c r="O62" s="31">
        <f t="shared" ref="O62:O65" si="21">SUM(C62:N62)</f>
        <v>666831.77999999991</v>
      </c>
    </row>
    <row r="63" spans="1:15" ht="33" customHeight="1" x14ac:dyDescent="0.25">
      <c r="A63" s="10">
        <f t="shared" si="20"/>
        <v>10.199999999999999</v>
      </c>
      <c r="B63" s="3" t="s">
        <v>228</v>
      </c>
      <c r="C63" s="28">
        <v>57000</v>
      </c>
      <c r="D63" s="28">
        <v>43700</v>
      </c>
      <c r="E63" s="28">
        <v>56200</v>
      </c>
      <c r="F63" s="29">
        <v>36900</v>
      </c>
      <c r="G63" s="29">
        <v>51300</v>
      </c>
      <c r="H63" s="28">
        <v>47800</v>
      </c>
      <c r="I63" s="28">
        <v>57700</v>
      </c>
      <c r="J63" s="28">
        <v>29546</v>
      </c>
      <c r="K63" s="28">
        <v>24165.33</v>
      </c>
      <c r="L63" s="46">
        <v>53690.96</v>
      </c>
      <c r="M63" s="29">
        <v>96370.38</v>
      </c>
      <c r="N63" s="30">
        <v>70536.83</v>
      </c>
      <c r="O63" s="31">
        <f t="shared" si="21"/>
        <v>624909.5</v>
      </c>
    </row>
    <row r="64" spans="1:15" ht="33" customHeight="1" x14ac:dyDescent="0.25">
      <c r="A64" s="10">
        <f t="shared" si="20"/>
        <v>10.299999999999999</v>
      </c>
      <c r="B64" s="3" t="s">
        <v>229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31">
        <f t="shared" si="21"/>
        <v>0</v>
      </c>
    </row>
    <row r="65" spans="1:15" ht="33" customHeight="1" x14ac:dyDescent="0.25">
      <c r="A65" s="16">
        <f t="shared" si="20"/>
        <v>10.399999999999999</v>
      </c>
      <c r="B65" s="11" t="s">
        <v>75</v>
      </c>
      <c r="C65" s="32">
        <v>88700</v>
      </c>
      <c r="D65" s="32">
        <v>66500</v>
      </c>
      <c r="E65" s="32">
        <f>SUM(E62:E64)</f>
        <v>87300</v>
      </c>
      <c r="F65" s="32">
        <v>53700</v>
      </c>
      <c r="G65" s="32">
        <f>SUM(G62:G64)</f>
        <v>72200</v>
      </c>
      <c r="H65" s="33">
        <v>94400</v>
      </c>
      <c r="I65" s="32">
        <v>97700</v>
      </c>
      <c r="J65" s="32">
        <f>SUM(J62:J64)</f>
        <v>75388</v>
      </c>
      <c r="K65" s="32">
        <f>SUM(K62:K64)</f>
        <v>74726.320000000007</v>
      </c>
      <c r="L65" s="32">
        <f>SUM(L62:L64)</f>
        <v>114539.18</v>
      </c>
      <c r="M65" s="32">
        <f>SUM(M62:M64)</f>
        <v>225039.85</v>
      </c>
      <c r="N65" s="32">
        <f>SUM(N62:N64)</f>
        <v>241547.93</v>
      </c>
      <c r="O65" s="15">
        <f t="shared" si="21"/>
        <v>1291741.28</v>
      </c>
    </row>
    <row r="66" spans="1:15" ht="30" customHeight="1" x14ac:dyDescent="0.25">
      <c r="A66" s="1">
        <f>+A61+1</f>
        <v>11</v>
      </c>
      <c r="B66" s="1" t="s">
        <v>233</v>
      </c>
      <c r="C66" s="1"/>
      <c r="D66" s="1"/>
      <c r="E66" s="1"/>
      <c r="F66" s="1"/>
      <c r="G66" s="1"/>
      <c r="H66" s="1"/>
      <c r="I66" s="1"/>
      <c r="J66" s="1"/>
      <c r="K66" s="1"/>
      <c r="L66" s="36"/>
      <c r="M66" s="1"/>
      <c r="N66" s="1"/>
      <c r="O66" s="1"/>
    </row>
    <row r="67" spans="1:15" ht="46.5" customHeight="1" x14ac:dyDescent="0.25">
      <c r="A67" s="10">
        <f t="shared" ref="A67:A71" si="22">+A66+0.1</f>
        <v>11.1</v>
      </c>
      <c r="B67" s="3" t="s">
        <v>234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5">
        <f t="shared" ref="O67:O71" si="23">SUM(C67:N67)</f>
        <v>0</v>
      </c>
    </row>
    <row r="68" spans="1:15" ht="46.5" customHeight="1" x14ac:dyDescent="0.25">
      <c r="A68" s="10">
        <f t="shared" si="22"/>
        <v>11.2</v>
      </c>
      <c r="B68" s="3" t="s">
        <v>235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5">
        <f t="shared" si="23"/>
        <v>0</v>
      </c>
    </row>
    <row r="69" spans="1:15" ht="46.5" customHeight="1" x14ac:dyDescent="0.25">
      <c r="A69" s="10">
        <f t="shared" si="22"/>
        <v>11.299999999999999</v>
      </c>
      <c r="B69" s="3" t="s">
        <v>236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5">
        <f t="shared" si="23"/>
        <v>0</v>
      </c>
    </row>
    <row r="70" spans="1:15" ht="46.5" customHeight="1" x14ac:dyDescent="0.25">
      <c r="A70" s="10">
        <f t="shared" si="22"/>
        <v>11.399999999999999</v>
      </c>
      <c r="B70" s="3" t="s">
        <v>237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5">
        <f t="shared" si="23"/>
        <v>0</v>
      </c>
    </row>
    <row r="71" spans="1:15" ht="46.5" customHeight="1" x14ac:dyDescent="0.25">
      <c r="A71" s="10">
        <f t="shared" si="22"/>
        <v>11.499999999999998</v>
      </c>
      <c r="B71" s="3" t="s">
        <v>238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5">
        <f t="shared" si="23"/>
        <v>0</v>
      </c>
    </row>
    <row r="72" spans="1:15" ht="30" customHeight="1" x14ac:dyDescent="0.25">
      <c r="A72" s="1">
        <f>+A66+1</f>
        <v>12</v>
      </c>
      <c r="B72" s="1" t="s">
        <v>239</v>
      </c>
      <c r="C72" s="1"/>
      <c r="D72" s="1"/>
      <c r="E72" s="1"/>
      <c r="F72" s="1"/>
      <c r="G72" s="1"/>
      <c r="H72" s="1"/>
      <c r="I72" s="1"/>
      <c r="J72" s="1"/>
      <c r="K72" s="1"/>
      <c r="L72" s="36"/>
      <c r="M72" s="1"/>
      <c r="N72" s="1"/>
      <c r="O72" s="1"/>
    </row>
    <row r="73" spans="1:15" ht="45" customHeight="1" x14ac:dyDescent="0.25">
      <c r="A73" s="10">
        <f t="shared" ref="A73:A74" si="24">+A72+0.1</f>
        <v>12.1</v>
      </c>
      <c r="B73" s="3" t="s">
        <v>240</v>
      </c>
      <c r="C73" s="4">
        <v>0</v>
      </c>
      <c r="D73" s="4">
        <v>0</v>
      </c>
      <c r="E73" s="4">
        <v>1</v>
      </c>
      <c r="F73" s="4">
        <v>0</v>
      </c>
      <c r="G73" s="4">
        <v>1</v>
      </c>
      <c r="H73" s="9">
        <v>0</v>
      </c>
      <c r="I73" s="4">
        <v>0</v>
      </c>
      <c r="J73" s="4">
        <v>1</v>
      </c>
      <c r="K73" s="9">
        <v>1</v>
      </c>
      <c r="L73" s="35">
        <v>0</v>
      </c>
      <c r="M73" s="4">
        <v>0</v>
      </c>
      <c r="N73" s="40">
        <v>1</v>
      </c>
      <c r="O73" s="5">
        <f t="shared" ref="O73:O74" si="25">SUM(C73:N73)</f>
        <v>5</v>
      </c>
    </row>
    <row r="74" spans="1:15" ht="45" customHeight="1" x14ac:dyDescent="0.25">
      <c r="A74" s="10">
        <f t="shared" si="24"/>
        <v>12.2</v>
      </c>
      <c r="B74" s="3" t="s">
        <v>241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1</v>
      </c>
      <c r="K74" s="9">
        <v>0</v>
      </c>
      <c r="L74" s="35">
        <v>0</v>
      </c>
      <c r="M74" s="4">
        <v>0</v>
      </c>
      <c r="N74" s="4">
        <v>1</v>
      </c>
      <c r="O74" s="5">
        <f t="shared" si="25"/>
        <v>2</v>
      </c>
    </row>
    <row r="75" spans="1:15" ht="30" customHeight="1" x14ac:dyDescent="0.25">
      <c r="A75" s="1">
        <f>+A72+1</f>
        <v>13</v>
      </c>
      <c r="B75" s="1" t="s">
        <v>242</v>
      </c>
      <c r="C75" s="1"/>
      <c r="D75" s="1"/>
      <c r="E75" s="1"/>
      <c r="F75" s="1"/>
      <c r="G75" s="1"/>
      <c r="H75" s="1"/>
      <c r="I75" s="1"/>
      <c r="J75" s="1"/>
      <c r="K75" s="1"/>
      <c r="L75" s="36"/>
      <c r="M75" s="1"/>
      <c r="N75" s="1"/>
      <c r="O75" s="1"/>
    </row>
    <row r="76" spans="1:15" ht="45" customHeight="1" x14ac:dyDescent="0.25">
      <c r="A76" s="10">
        <f t="shared" ref="A76:A84" si="26">+A75+0.1</f>
        <v>13.1</v>
      </c>
      <c r="B76" s="3" t="s">
        <v>243</v>
      </c>
      <c r="C76" s="4">
        <v>217</v>
      </c>
      <c r="D76" s="4">
        <v>153</v>
      </c>
      <c r="E76" s="4">
        <f>3+138+1</f>
        <v>142</v>
      </c>
      <c r="F76" s="4">
        <v>108</v>
      </c>
      <c r="G76" s="4">
        <f>102+2</f>
        <v>104</v>
      </c>
      <c r="H76" s="4">
        <v>97</v>
      </c>
      <c r="I76" s="34">
        <v>111</v>
      </c>
      <c r="J76" s="4">
        <f>138+9</f>
        <v>147</v>
      </c>
      <c r="K76" s="4">
        <f>121+9+4</f>
        <v>134</v>
      </c>
      <c r="L76" s="35">
        <f>15+10+1</f>
        <v>26</v>
      </c>
      <c r="M76" s="4">
        <f>8+15</f>
        <v>23</v>
      </c>
      <c r="N76" s="4">
        <f>4+20</f>
        <v>24</v>
      </c>
      <c r="O76" s="5">
        <f t="shared" ref="O76:O86" si="27">SUM(C76:N76)</f>
        <v>1286</v>
      </c>
    </row>
    <row r="77" spans="1:15" ht="45" customHeight="1" x14ac:dyDescent="0.25">
      <c r="A77" s="10">
        <f t="shared" si="26"/>
        <v>13.2</v>
      </c>
      <c r="B77" s="3" t="s">
        <v>244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35">
        <v>0</v>
      </c>
      <c r="M77" s="4">
        <v>0</v>
      </c>
      <c r="N77" s="4">
        <v>0</v>
      </c>
      <c r="O77" s="5">
        <f t="shared" si="27"/>
        <v>0</v>
      </c>
    </row>
    <row r="78" spans="1:15" ht="45" customHeight="1" x14ac:dyDescent="0.25">
      <c r="A78" s="10">
        <f t="shared" si="26"/>
        <v>13.299999999999999</v>
      </c>
      <c r="B78" s="3" t="s">
        <v>245</v>
      </c>
      <c r="C78" s="4">
        <v>148</v>
      </c>
      <c r="D78" s="4">
        <v>139</v>
      </c>
      <c r="E78" s="4">
        <f>9+148</f>
        <v>157</v>
      </c>
      <c r="F78" s="4">
        <v>85</v>
      </c>
      <c r="G78" s="4">
        <f>111+3</f>
        <v>114</v>
      </c>
      <c r="H78" s="4">
        <v>85</v>
      </c>
      <c r="I78" s="34">
        <v>89</v>
      </c>
      <c r="J78" s="4">
        <f>127+1</f>
        <v>128</v>
      </c>
      <c r="K78" s="4">
        <f>126+19</f>
        <v>145</v>
      </c>
      <c r="L78" s="35">
        <f>6+6</f>
        <v>12</v>
      </c>
      <c r="M78" s="4">
        <f>10+17</f>
        <v>27</v>
      </c>
      <c r="N78" s="4">
        <f>5+14</f>
        <v>19</v>
      </c>
      <c r="O78" s="5">
        <f t="shared" si="27"/>
        <v>1148</v>
      </c>
    </row>
    <row r="79" spans="1:15" ht="45" customHeight="1" x14ac:dyDescent="0.25">
      <c r="A79" s="10">
        <f t="shared" si="26"/>
        <v>13.399999999999999</v>
      </c>
      <c r="B79" s="3" t="s">
        <v>246</v>
      </c>
      <c r="C79" s="4">
        <v>17</v>
      </c>
      <c r="D79" s="4">
        <v>11</v>
      </c>
      <c r="E79" s="4">
        <f>9+54</f>
        <v>63</v>
      </c>
      <c r="F79" s="4">
        <v>2</v>
      </c>
      <c r="G79" s="4">
        <f>24+2</f>
        <v>26</v>
      </c>
      <c r="H79" s="4">
        <v>12</v>
      </c>
      <c r="I79" s="4">
        <v>7</v>
      </c>
      <c r="J79" s="4">
        <f>8+1</f>
        <v>9</v>
      </c>
      <c r="K79" s="4">
        <f>9+18</f>
        <v>27</v>
      </c>
      <c r="L79" s="35">
        <f>6+4</f>
        <v>10</v>
      </c>
      <c r="M79" s="4">
        <f>10+14</f>
        <v>24</v>
      </c>
      <c r="N79" s="4">
        <f>5+11</f>
        <v>16</v>
      </c>
      <c r="O79" s="5">
        <f t="shared" si="27"/>
        <v>224</v>
      </c>
    </row>
    <row r="80" spans="1:15" ht="45" customHeight="1" x14ac:dyDescent="0.25">
      <c r="A80" s="10">
        <f t="shared" si="26"/>
        <v>13.499999999999998</v>
      </c>
      <c r="B80" s="3" t="s">
        <v>247</v>
      </c>
      <c r="C80" s="4">
        <v>131</v>
      </c>
      <c r="D80" s="4">
        <v>128</v>
      </c>
      <c r="E80" s="4">
        <f>94</f>
        <v>94</v>
      </c>
      <c r="F80" s="4">
        <v>83</v>
      </c>
      <c r="G80" s="4">
        <f>87+1</f>
        <v>88</v>
      </c>
      <c r="H80" s="4">
        <v>73</v>
      </c>
      <c r="I80" s="34">
        <v>82</v>
      </c>
      <c r="J80" s="4">
        <f>119</f>
        <v>119</v>
      </c>
      <c r="K80" s="4">
        <f>117+1</f>
        <v>118</v>
      </c>
      <c r="L80" s="35">
        <f>2</f>
        <v>2</v>
      </c>
      <c r="M80" s="4">
        <f>3</f>
        <v>3</v>
      </c>
      <c r="N80" s="4">
        <f>3</f>
        <v>3</v>
      </c>
      <c r="O80" s="5">
        <f t="shared" si="27"/>
        <v>924</v>
      </c>
    </row>
    <row r="81" spans="1:15" ht="45" customHeight="1" x14ac:dyDescent="0.25">
      <c r="A81" s="10">
        <f t="shared" si="26"/>
        <v>13.599999999999998</v>
      </c>
      <c r="B81" s="3" t="s">
        <v>248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5">
        <f t="shared" si="27"/>
        <v>0</v>
      </c>
    </row>
    <row r="82" spans="1:15" ht="45" customHeight="1" x14ac:dyDescent="0.25">
      <c r="A82" s="10">
        <f t="shared" si="26"/>
        <v>13.699999999999998</v>
      </c>
      <c r="B82" s="3" t="s">
        <v>249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5">
        <f t="shared" si="27"/>
        <v>0</v>
      </c>
    </row>
    <row r="83" spans="1:15" ht="45" customHeight="1" x14ac:dyDescent="0.25">
      <c r="A83" s="10">
        <f t="shared" si="26"/>
        <v>13.799999999999997</v>
      </c>
      <c r="B83" s="3" t="s">
        <v>250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5">
        <f t="shared" si="27"/>
        <v>0</v>
      </c>
    </row>
    <row r="84" spans="1:15" ht="45" customHeight="1" x14ac:dyDescent="0.25">
      <c r="A84" s="10">
        <f t="shared" si="26"/>
        <v>13.899999999999997</v>
      </c>
      <c r="B84" s="3" t="s">
        <v>251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5">
        <f t="shared" si="27"/>
        <v>0</v>
      </c>
    </row>
    <row r="85" spans="1:15" ht="45" customHeight="1" x14ac:dyDescent="0.25">
      <c r="A85" s="2">
        <v>13.1</v>
      </c>
      <c r="B85" s="3" t="s">
        <v>252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5">
        <f t="shared" si="27"/>
        <v>0</v>
      </c>
    </row>
    <row r="86" spans="1:15" ht="45" customHeight="1" x14ac:dyDescent="0.25">
      <c r="A86" s="2">
        <v>13.11</v>
      </c>
      <c r="B86" s="3" t="s">
        <v>253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5">
        <f t="shared" si="27"/>
        <v>0</v>
      </c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ignoredErrors>
    <ignoredError sqref="K14 K22 M22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8EB5"/>
    <pageSetUpPr fitToPage="1"/>
  </sheetPr>
  <dimension ref="A1:O100"/>
  <sheetViews>
    <sheetView topLeftCell="A4" zoomScale="70" zoomScaleNormal="70" workbookViewId="0">
      <selection activeCell="M18" sqref="M18"/>
    </sheetView>
  </sheetViews>
  <sheetFormatPr baseColWidth="10" defaultColWidth="14.42578125" defaultRowHeight="15" customHeight="1" x14ac:dyDescent="0.25"/>
  <cols>
    <col min="1" max="1" width="8.42578125" customWidth="1"/>
    <col min="2" max="2" width="53.7109375" customWidth="1"/>
    <col min="3" max="3" width="12.42578125" customWidth="1"/>
    <col min="4" max="4" width="14.42578125" customWidth="1"/>
    <col min="5" max="5" width="12.85546875" customWidth="1"/>
    <col min="6" max="6" width="11.5703125" customWidth="1"/>
    <col min="7" max="7" width="12" customWidth="1"/>
    <col min="8" max="8" width="11.5703125" customWidth="1"/>
    <col min="9" max="9" width="11" customWidth="1"/>
    <col min="10" max="10" width="13.42578125" customWidth="1"/>
    <col min="11" max="11" width="17.42578125" customWidth="1"/>
    <col min="12" max="12" width="14.42578125" customWidth="1"/>
    <col min="13" max="13" width="17.28515625" customWidth="1"/>
    <col min="14" max="14" width="16.42578125" customWidth="1"/>
    <col min="15" max="15" width="12.7109375" customWidth="1"/>
  </cols>
  <sheetData>
    <row r="1" spans="1:15" ht="32.25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2.2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39.75" customHeight="1" x14ac:dyDescent="0.25">
      <c r="A3" s="57" t="s">
        <v>270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ht="40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ht="33.75" customHeight="1" x14ac:dyDescent="0.25">
      <c r="A5" s="10">
        <v>1</v>
      </c>
      <c r="B5" s="3" t="s">
        <v>254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2</v>
      </c>
      <c r="J5" s="4">
        <v>2</v>
      </c>
      <c r="K5" s="4">
        <v>3</v>
      </c>
      <c r="L5" s="35">
        <v>2</v>
      </c>
      <c r="M5" s="4">
        <v>2</v>
      </c>
      <c r="N5" s="4">
        <v>2</v>
      </c>
      <c r="O5" s="5">
        <f t="shared" ref="O5:O15" si="0">SUM(C5:N5)</f>
        <v>13</v>
      </c>
    </row>
    <row r="6" spans="1:15" ht="33.75" customHeight="1" x14ac:dyDescent="0.25">
      <c r="A6" s="10">
        <f t="shared" ref="A6:A16" si="1">+A5+1</f>
        <v>2</v>
      </c>
      <c r="B6" s="3" t="s">
        <v>255</v>
      </c>
      <c r="C6" s="4">
        <v>1</v>
      </c>
      <c r="D6" s="4">
        <v>2</v>
      </c>
      <c r="E6" s="4">
        <v>3</v>
      </c>
      <c r="F6" s="4">
        <v>1</v>
      </c>
      <c r="G6" s="4">
        <v>1</v>
      </c>
      <c r="H6" s="4">
        <v>1</v>
      </c>
      <c r="I6" s="4">
        <v>0</v>
      </c>
      <c r="J6" s="4">
        <v>0</v>
      </c>
      <c r="K6" s="4">
        <v>1</v>
      </c>
      <c r="L6" s="35">
        <v>1</v>
      </c>
      <c r="M6" s="4">
        <v>2</v>
      </c>
      <c r="N6" s="4">
        <v>1</v>
      </c>
      <c r="O6" s="5">
        <f t="shared" si="0"/>
        <v>14</v>
      </c>
    </row>
    <row r="7" spans="1:15" ht="33.75" customHeight="1" x14ac:dyDescent="0.25">
      <c r="A7" s="10">
        <f t="shared" si="1"/>
        <v>3</v>
      </c>
      <c r="B7" s="3" t="s">
        <v>256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3</v>
      </c>
      <c r="L7" s="35">
        <v>0</v>
      </c>
      <c r="M7" s="4">
        <v>0</v>
      </c>
      <c r="N7" s="4">
        <v>0</v>
      </c>
      <c r="O7" s="5">
        <f t="shared" si="0"/>
        <v>3</v>
      </c>
    </row>
    <row r="8" spans="1:15" ht="33.75" customHeight="1" x14ac:dyDescent="0.25">
      <c r="A8" s="10">
        <f t="shared" si="1"/>
        <v>4</v>
      </c>
      <c r="B8" s="3" t="s">
        <v>257</v>
      </c>
      <c r="C8" s="4">
        <v>6</v>
      </c>
      <c r="D8" s="4">
        <v>9</v>
      </c>
      <c r="E8" s="4">
        <v>7</v>
      </c>
      <c r="F8" s="4">
        <v>4</v>
      </c>
      <c r="G8" s="4">
        <v>2</v>
      </c>
      <c r="H8" s="4">
        <v>2</v>
      </c>
      <c r="I8" s="4">
        <v>7</v>
      </c>
      <c r="J8" s="4">
        <v>9</v>
      </c>
      <c r="K8" s="4">
        <v>19</v>
      </c>
      <c r="L8" s="35">
        <v>2</v>
      </c>
      <c r="M8" s="4">
        <v>16</v>
      </c>
      <c r="N8" s="4">
        <v>17</v>
      </c>
      <c r="O8" s="5">
        <f t="shared" si="0"/>
        <v>100</v>
      </c>
    </row>
    <row r="9" spans="1:15" ht="33.75" customHeight="1" x14ac:dyDescent="0.25">
      <c r="A9" s="10">
        <f t="shared" si="1"/>
        <v>5</v>
      </c>
      <c r="B9" s="3" t="s">
        <v>258</v>
      </c>
      <c r="C9" s="4">
        <v>3</v>
      </c>
      <c r="D9" s="4">
        <v>6</v>
      </c>
      <c r="E9" s="4">
        <v>3</v>
      </c>
      <c r="F9" s="4">
        <v>8</v>
      </c>
      <c r="G9" s="4">
        <v>0</v>
      </c>
      <c r="H9" s="4">
        <v>1</v>
      </c>
      <c r="I9" s="4">
        <v>7</v>
      </c>
      <c r="J9" s="4">
        <v>9</v>
      </c>
      <c r="K9" s="4">
        <v>2</v>
      </c>
      <c r="L9" s="35">
        <v>13</v>
      </c>
      <c r="M9" s="4">
        <v>0</v>
      </c>
      <c r="N9" s="4">
        <v>0</v>
      </c>
      <c r="O9" s="5">
        <f t="shared" si="0"/>
        <v>52</v>
      </c>
    </row>
    <row r="10" spans="1:15" ht="33.75" customHeight="1" x14ac:dyDescent="0.25">
      <c r="A10" s="10">
        <f t="shared" si="1"/>
        <v>6</v>
      </c>
      <c r="B10" s="3" t="s">
        <v>259</v>
      </c>
      <c r="C10" s="4">
        <v>9</v>
      </c>
      <c r="D10" s="4">
        <v>15</v>
      </c>
      <c r="E10" s="4">
        <v>10</v>
      </c>
      <c r="F10" s="4">
        <v>12</v>
      </c>
      <c r="G10" s="4">
        <v>2</v>
      </c>
      <c r="H10" s="4">
        <v>3</v>
      </c>
      <c r="I10" s="4">
        <v>14</v>
      </c>
      <c r="J10" s="4">
        <v>18</v>
      </c>
      <c r="K10" s="4">
        <v>21</v>
      </c>
      <c r="L10" s="35">
        <v>15</v>
      </c>
      <c r="M10" s="4">
        <v>16</v>
      </c>
      <c r="N10" s="4">
        <v>17</v>
      </c>
      <c r="O10" s="5">
        <f t="shared" si="0"/>
        <v>152</v>
      </c>
    </row>
    <row r="11" spans="1:15" ht="33.75" customHeight="1" x14ac:dyDescent="0.25">
      <c r="A11" s="10">
        <f t="shared" si="1"/>
        <v>7</v>
      </c>
      <c r="B11" s="3" t="s">
        <v>260</v>
      </c>
      <c r="C11" s="4">
        <v>11</v>
      </c>
      <c r="D11" s="4">
        <v>18</v>
      </c>
      <c r="E11" s="4">
        <v>11</v>
      </c>
      <c r="F11" s="4">
        <v>14</v>
      </c>
      <c r="G11" s="4">
        <v>4</v>
      </c>
      <c r="H11" s="4">
        <v>3</v>
      </c>
      <c r="I11" s="4">
        <v>12</v>
      </c>
      <c r="J11" s="4">
        <v>15</v>
      </c>
      <c r="K11" s="4">
        <v>16</v>
      </c>
      <c r="L11" s="35">
        <v>13</v>
      </c>
      <c r="M11" s="4">
        <v>17</v>
      </c>
      <c r="N11" s="4">
        <v>12</v>
      </c>
      <c r="O11" s="5">
        <f t="shared" si="0"/>
        <v>146</v>
      </c>
    </row>
    <row r="12" spans="1:15" ht="33.75" customHeight="1" x14ac:dyDescent="0.25">
      <c r="A12" s="10">
        <f t="shared" si="1"/>
        <v>8</v>
      </c>
      <c r="B12" s="3" t="s">
        <v>261</v>
      </c>
      <c r="C12" s="4">
        <v>11</v>
      </c>
      <c r="D12" s="4">
        <v>18</v>
      </c>
      <c r="E12" s="4">
        <v>11</v>
      </c>
      <c r="F12" s="4">
        <v>14</v>
      </c>
      <c r="G12" s="4">
        <v>4</v>
      </c>
      <c r="H12" s="4">
        <v>3</v>
      </c>
      <c r="I12" s="4">
        <v>12</v>
      </c>
      <c r="J12" s="4">
        <v>15</v>
      </c>
      <c r="K12" s="4">
        <v>16</v>
      </c>
      <c r="L12" s="35">
        <v>13</v>
      </c>
      <c r="M12" s="4">
        <v>17</v>
      </c>
      <c r="N12" s="4">
        <v>12</v>
      </c>
      <c r="O12" s="5">
        <f t="shared" si="0"/>
        <v>146</v>
      </c>
    </row>
    <row r="13" spans="1:15" ht="33.75" customHeight="1" x14ac:dyDescent="0.25">
      <c r="A13" s="10">
        <f t="shared" si="1"/>
        <v>9</v>
      </c>
      <c r="B13" s="3" t="s">
        <v>262</v>
      </c>
      <c r="C13" s="4">
        <v>0</v>
      </c>
      <c r="D13" s="9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35">
        <v>0</v>
      </c>
      <c r="M13" s="4">
        <v>0</v>
      </c>
      <c r="N13" s="4">
        <v>1</v>
      </c>
      <c r="O13" s="5">
        <f t="shared" si="0"/>
        <v>2</v>
      </c>
    </row>
    <row r="14" spans="1:15" ht="33.75" customHeight="1" x14ac:dyDescent="0.25">
      <c r="A14" s="10">
        <f t="shared" si="1"/>
        <v>10</v>
      </c>
      <c r="B14" s="3" t="s">
        <v>263</v>
      </c>
      <c r="C14" s="4">
        <v>8</v>
      </c>
      <c r="D14" s="4">
        <v>13</v>
      </c>
      <c r="E14" s="4">
        <v>7</v>
      </c>
      <c r="F14" s="4">
        <v>11</v>
      </c>
      <c r="G14" s="4">
        <v>1</v>
      </c>
      <c r="H14" s="4">
        <v>2</v>
      </c>
      <c r="I14" s="4">
        <v>8</v>
      </c>
      <c r="J14" s="4">
        <v>13</v>
      </c>
      <c r="K14" s="4">
        <v>13</v>
      </c>
      <c r="L14" s="35">
        <v>21</v>
      </c>
      <c r="M14" s="4">
        <v>10</v>
      </c>
      <c r="N14" s="4">
        <v>14</v>
      </c>
      <c r="O14" s="5">
        <f t="shared" si="0"/>
        <v>121</v>
      </c>
    </row>
    <row r="15" spans="1:15" ht="33.75" customHeight="1" x14ac:dyDescent="0.25">
      <c r="A15" s="10">
        <f t="shared" si="1"/>
        <v>11</v>
      </c>
      <c r="B15" s="3" t="s">
        <v>264</v>
      </c>
      <c r="C15" s="4">
        <v>8</v>
      </c>
      <c r="D15" s="4">
        <v>13</v>
      </c>
      <c r="E15" s="4">
        <v>7</v>
      </c>
      <c r="F15" s="4">
        <v>11</v>
      </c>
      <c r="G15" s="4">
        <v>1</v>
      </c>
      <c r="H15" s="4">
        <v>2</v>
      </c>
      <c r="I15" s="4">
        <v>8</v>
      </c>
      <c r="J15" s="4">
        <v>13</v>
      </c>
      <c r="K15" s="4">
        <v>13</v>
      </c>
      <c r="L15" s="35">
        <v>9</v>
      </c>
      <c r="M15" s="4">
        <v>10</v>
      </c>
      <c r="N15" s="4">
        <v>11</v>
      </c>
      <c r="O15" s="5">
        <f t="shared" si="0"/>
        <v>106</v>
      </c>
    </row>
    <row r="16" spans="1:15" ht="30" customHeight="1" x14ac:dyDescent="0.25">
      <c r="A16" s="1">
        <f t="shared" si="1"/>
        <v>12</v>
      </c>
      <c r="B16" s="1" t="s">
        <v>265</v>
      </c>
      <c r="C16" s="1"/>
      <c r="D16" s="1"/>
      <c r="E16" s="1"/>
      <c r="F16" s="1"/>
      <c r="G16" s="1"/>
      <c r="H16" s="1"/>
      <c r="I16" s="1"/>
      <c r="J16" s="1"/>
      <c r="K16" s="1"/>
      <c r="L16" s="36"/>
      <c r="M16" s="1"/>
      <c r="N16" s="1"/>
      <c r="O16" s="1"/>
    </row>
    <row r="17" spans="1:15" ht="33.75" customHeight="1" x14ac:dyDescent="0.25">
      <c r="A17" s="10">
        <f t="shared" ref="A17:A20" si="2">+A16+0.1</f>
        <v>12.1</v>
      </c>
      <c r="B17" s="3" t="s">
        <v>266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5">
        <v>0</v>
      </c>
      <c r="M17" s="4">
        <v>0</v>
      </c>
      <c r="N17" s="4">
        <v>0</v>
      </c>
      <c r="O17" s="5">
        <f t="shared" ref="O17:O20" si="3">SUM(C17:N17)</f>
        <v>0</v>
      </c>
    </row>
    <row r="18" spans="1:15" ht="33.75" customHeight="1" x14ac:dyDescent="0.25">
      <c r="A18" s="10">
        <f t="shared" si="2"/>
        <v>12.2</v>
      </c>
      <c r="B18" s="3" t="s">
        <v>267</v>
      </c>
      <c r="C18" s="4">
        <v>532</v>
      </c>
      <c r="D18" s="4">
        <v>722</v>
      </c>
      <c r="E18" s="4">
        <v>1660</v>
      </c>
      <c r="F18" s="4">
        <v>6810</v>
      </c>
      <c r="G18" s="4">
        <v>10948</v>
      </c>
      <c r="H18" s="4">
        <v>10573</v>
      </c>
      <c r="I18" s="4">
        <v>8614</v>
      </c>
      <c r="J18" s="4">
        <v>9234</v>
      </c>
      <c r="K18" s="4">
        <v>7921</v>
      </c>
      <c r="L18" s="35">
        <v>8185</v>
      </c>
      <c r="M18" s="4">
        <v>7495</v>
      </c>
      <c r="N18" s="4">
        <v>3229</v>
      </c>
      <c r="O18" s="5">
        <f t="shared" si="3"/>
        <v>75923</v>
      </c>
    </row>
    <row r="19" spans="1:15" ht="33.75" customHeight="1" x14ac:dyDescent="0.25">
      <c r="A19" s="10">
        <f t="shared" si="2"/>
        <v>12.299999999999999</v>
      </c>
      <c r="B19" s="8" t="s">
        <v>268</v>
      </c>
      <c r="C19" s="4">
        <v>22</v>
      </c>
      <c r="D19" s="9">
        <v>21</v>
      </c>
      <c r="E19" s="4">
        <v>22</v>
      </c>
      <c r="F19" s="4">
        <v>22</v>
      </c>
      <c r="G19" s="4">
        <v>21</v>
      </c>
      <c r="H19" s="4">
        <v>22</v>
      </c>
      <c r="I19" s="4">
        <v>22</v>
      </c>
      <c r="J19" s="4">
        <v>22</v>
      </c>
      <c r="K19" s="4">
        <v>26</v>
      </c>
      <c r="L19" s="35">
        <v>24</v>
      </c>
      <c r="M19" s="4">
        <v>22</v>
      </c>
      <c r="N19" s="4">
        <v>25</v>
      </c>
      <c r="O19" s="5">
        <f t="shared" si="3"/>
        <v>271</v>
      </c>
    </row>
    <row r="20" spans="1:15" ht="33.75" customHeight="1" x14ac:dyDescent="0.25">
      <c r="A20" s="10">
        <f t="shared" si="2"/>
        <v>12.399999999999999</v>
      </c>
      <c r="B20" s="3" t="s">
        <v>269</v>
      </c>
      <c r="C20" s="4">
        <v>18</v>
      </c>
      <c r="D20" s="4">
        <v>0</v>
      </c>
      <c r="E20" s="4">
        <v>18</v>
      </c>
      <c r="F20" s="4">
        <v>4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5">
        <v>194</v>
      </c>
      <c r="M20" s="4">
        <v>10</v>
      </c>
      <c r="N20" s="4">
        <v>2404</v>
      </c>
      <c r="O20" s="5">
        <f t="shared" si="3"/>
        <v>2648</v>
      </c>
    </row>
    <row r="21" spans="1:15" ht="15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Hoja2</vt:lpstr>
      <vt:lpstr>Hoja3</vt:lpstr>
      <vt:lpstr>Admtva.</vt:lpstr>
      <vt:lpstr>Com</vt:lpstr>
      <vt:lpstr>Prot. C</vt:lpstr>
      <vt:lpstr>Part.C</vt:lpstr>
      <vt:lpstr>CS</vt:lpstr>
      <vt:lpstr>DAC</vt:lpstr>
      <vt:lpstr>IV</vt:lpstr>
      <vt:lpstr>Jur</vt:lpstr>
      <vt:lpstr>Tec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Hugo Edmundo Trujillo Enriquez</cp:lastModifiedBy>
  <cp:lastPrinted>2017-02-02T17:11:31Z</cp:lastPrinted>
  <dcterms:created xsi:type="dcterms:W3CDTF">2013-01-10T16:37:33Z</dcterms:created>
  <dcterms:modified xsi:type="dcterms:W3CDTF">2022-01-11T15:23:11Z</dcterms:modified>
</cp:coreProperties>
</file>