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.galvan\Downloads\Tablas Est\Tablas Est\"/>
    </mc:Choice>
  </mc:AlternateContent>
  <bookViews>
    <workbookView xWindow="0" yWindow="0" windowWidth="28800" windowHeight="12300" activeTab="3"/>
  </bookViews>
  <sheets>
    <sheet name="Tec" sheetId="6" r:id="rId1"/>
    <sheet name="TEC1" sheetId="8" r:id="rId2"/>
    <sheet name="TEC2" sheetId="9" r:id="rId3"/>
    <sheet name="CS" sheetId="3" r:id="rId4"/>
    <sheet name="AGR" sheetId="7" r:id="rId5"/>
    <sheet name="Jur" sheetId="4" r:id="rId6"/>
    <sheet name="IV" sheetId="5" r:id="rId7"/>
    <sheet name="COM" sheetId="2" r:id="rId8"/>
  </sheets>
  <definedNames>
    <definedName name="_xlnm.Print_Area" localSheetId="4">AGR!$B$1:$O$4</definedName>
    <definedName name="_xlnm.Print_Area" localSheetId="7">COM!$A$1:$Q$31</definedName>
    <definedName name="_xlnm.Print_Area" localSheetId="3">CS!$A$1:$P$8</definedName>
    <definedName name="_xlnm.Print_Area" localSheetId="6">IV!$A$1:$O$4</definedName>
    <definedName name="_xlnm.Print_Area" localSheetId="5">Jur!$A$1:$P$48</definedName>
    <definedName name="_xlnm.Print_Area" localSheetId="0">Tec!$A$1:$O$17</definedName>
    <definedName name="_xlnm.Print_Titles" localSheetId="5">Jur!$3:$3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4" i="2"/>
  <c r="P7" i="3" l="1"/>
  <c r="P8" i="3"/>
  <c r="O4" i="8" l="1"/>
  <c r="O5" i="8"/>
  <c r="O6" i="8"/>
  <c r="O7" i="8"/>
  <c r="O8" i="8"/>
  <c r="O9" i="8"/>
  <c r="O10" i="8"/>
  <c r="O11" i="8"/>
  <c r="O12" i="8"/>
  <c r="P48" i="8"/>
  <c r="M24" i="2" l="1"/>
  <c r="D24" i="2"/>
  <c r="E24" i="2"/>
  <c r="F24" i="2"/>
  <c r="G24" i="2"/>
  <c r="H24" i="2"/>
  <c r="I24" i="2"/>
  <c r="J24" i="2"/>
  <c r="K24" i="2"/>
  <c r="L24" i="2"/>
  <c r="K48" i="4" l="1"/>
  <c r="J48" i="4"/>
  <c r="I48" i="4"/>
  <c r="H48" i="4"/>
  <c r="K47" i="4"/>
  <c r="J47" i="4"/>
  <c r="I47" i="4"/>
  <c r="H47" i="4"/>
  <c r="K46" i="4"/>
  <c r="J46" i="4"/>
  <c r="I46" i="4"/>
  <c r="H46" i="4"/>
  <c r="K45" i="4"/>
  <c r="J45" i="4"/>
  <c r="I45" i="4"/>
  <c r="H45" i="4"/>
  <c r="K42" i="4"/>
  <c r="J42" i="4"/>
  <c r="I42" i="4"/>
  <c r="H42" i="4"/>
  <c r="K38" i="4"/>
  <c r="J38" i="4"/>
  <c r="I38" i="4"/>
  <c r="H38" i="4"/>
  <c r="K34" i="4"/>
  <c r="J34" i="4"/>
  <c r="I34" i="4"/>
  <c r="H34" i="4"/>
  <c r="J33" i="4"/>
  <c r="I33" i="4"/>
  <c r="H33" i="4"/>
  <c r="K32" i="4"/>
  <c r="J32" i="4"/>
  <c r="I32" i="4"/>
  <c r="H32" i="4"/>
  <c r="K30" i="4"/>
  <c r="J30" i="4"/>
  <c r="I30" i="4"/>
  <c r="H30" i="4"/>
  <c r="K25" i="4"/>
  <c r="J25" i="4"/>
  <c r="I25" i="4"/>
  <c r="H25" i="4"/>
  <c r="H24" i="4"/>
  <c r="K23" i="4"/>
  <c r="J23" i="4"/>
  <c r="I23" i="4"/>
  <c r="H23" i="4"/>
  <c r="H20" i="4"/>
  <c r="J18" i="4"/>
  <c r="I18" i="4"/>
  <c r="H18" i="4"/>
  <c r="H17" i="4"/>
  <c r="K16" i="4"/>
  <c r="J16" i="4"/>
  <c r="I16" i="4"/>
  <c r="H16" i="4"/>
  <c r="H13" i="4"/>
  <c r="K11" i="4"/>
  <c r="J11" i="4"/>
  <c r="I11" i="4"/>
  <c r="H11" i="4"/>
  <c r="H10" i="4"/>
  <c r="K9" i="4"/>
  <c r="J9" i="4"/>
  <c r="I9" i="4"/>
  <c r="H9" i="4"/>
  <c r="J6" i="4"/>
  <c r="I6" i="4"/>
  <c r="K4" i="4"/>
  <c r="J4" i="4"/>
  <c r="I4" i="4"/>
  <c r="H4" i="4"/>
  <c r="O8" i="9" l="1"/>
  <c r="O7" i="9"/>
  <c r="O6" i="9"/>
  <c r="O5" i="9"/>
  <c r="K5" i="3" l="1"/>
  <c r="K6" i="3" s="1"/>
  <c r="J5" i="3"/>
  <c r="J6" i="3" s="1"/>
  <c r="I5" i="3"/>
  <c r="I6" i="3" s="1"/>
  <c r="H5" i="3"/>
  <c r="H6" i="3" s="1"/>
  <c r="I9" i="2" l="1"/>
  <c r="H9" i="2"/>
  <c r="G9" i="2" l="1"/>
  <c r="G42" i="4" l="1"/>
  <c r="G38" i="4"/>
  <c r="G34" i="4"/>
  <c r="G24" i="4"/>
  <c r="G17" i="4"/>
  <c r="G10" i="4"/>
  <c r="G32" i="4" l="1"/>
  <c r="G25" i="4"/>
  <c r="G18" i="4"/>
  <c r="G11" i="4"/>
  <c r="G4" i="4"/>
  <c r="G20" i="4"/>
  <c r="G13" i="4"/>
  <c r="G6" i="4"/>
  <c r="G9" i="4"/>
  <c r="G30" i="4"/>
  <c r="G23" i="4"/>
  <c r="G16" i="4"/>
  <c r="G47" i="4"/>
  <c r="G46" i="4"/>
  <c r="G45" i="4"/>
  <c r="G48" i="4"/>
  <c r="F6" i="3" l="1"/>
  <c r="F9" i="2" l="1"/>
  <c r="F42" i="4" l="1"/>
  <c r="F38" i="4"/>
  <c r="F24" i="4" l="1"/>
  <c r="F17" i="4"/>
  <c r="F10" i="4"/>
  <c r="F34" i="4"/>
  <c r="F32" i="4"/>
  <c r="F20" i="4"/>
  <c r="F23" i="4"/>
  <c r="F13" i="4"/>
  <c r="F16" i="4"/>
  <c r="F6" i="4"/>
  <c r="F9" i="4"/>
  <c r="F25" i="4"/>
  <c r="F11" i="4"/>
  <c r="F4" i="4"/>
  <c r="F33" i="4"/>
  <c r="F30" i="4"/>
  <c r="F47" i="4"/>
  <c r="F48" i="4"/>
  <c r="F46" i="4"/>
  <c r="F45" i="4"/>
  <c r="F18" i="4"/>
  <c r="E34" i="4" l="1"/>
  <c r="E25" i="4"/>
  <c r="E18" i="4"/>
  <c r="E11" i="4"/>
  <c r="E4" i="4"/>
  <c r="E33" i="4"/>
  <c r="E32" i="4"/>
  <c r="E20" i="4"/>
  <c r="E13" i="4"/>
  <c r="E6" i="4"/>
  <c r="E9" i="4"/>
  <c r="E30" i="4"/>
  <c r="E23" i="4"/>
  <c r="E16" i="4"/>
  <c r="E47" i="4"/>
  <c r="E48" i="4"/>
  <c r="E46" i="4"/>
  <c r="E45" i="4"/>
  <c r="E42" i="4" l="1"/>
  <c r="E38" i="4"/>
  <c r="D42" i="4"/>
  <c r="D38" i="4"/>
  <c r="D33" i="4" l="1"/>
  <c r="D32" i="4"/>
  <c r="D34" i="4"/>
  <c r="D25" i="4"/>
  <c r="D18" i="4"/>
  <c r="D11" i="4"/>
  <c r="D4" i="4"/>
  <c r="D30" i="4"/>
  <c r="D6" i="4"/>
  <c r="D23" i="4"/>
  <c r="D16" i="4"/>
  <c r="D9" i="4"/>
  <c r="D47" i="4"/>
  <c r="D48" i="4"/>
  <c r="D46" i="4"/>
  <c r="D45" i="4"/>
  <c r="O4" i="7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4" i="5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5" i="3"/>
  <c r="E6" i="3"/>
  <c r="D6" i="3"/>
  <c r="E9" i="2"/>
  <c r="D9" i="2"/>
  <c r="P4" i="3" l="1"/>
  <c r="P6" i="3"/>
</calcChain>
</file>

<file path=xl/sharedStrings.xml><?xml version="1.0" encoding="utf-8"?>
<sst xmlns="http://schemas.openxmlformats.org/spreadsheetml/2006/main" count="356" uniqueCount="119">
  <si>
    <t>No.</t>
  </si>
  <si>
    <t>Nombre de Variable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</si>
  <si>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</si>
  <si>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</si>
  <si>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</si>
  <si>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</si>
  <si>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</si>
  <si>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</si>
  <si>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</si>
  <si>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</si>
  <si>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</si>
  <si>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</si>
  <si>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</si>
  <si>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</si>
  <si>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</si>
  <si>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</si>
  <si>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</si>
  <si>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Permisos autorizados  (art. 23 del Reglamento para el Uso de la Vía Pública en el Ejercicio de la Actividad Comercial en Monterrey,N.L.)</t>
  </si>
  <si>
    <t>*(1) Permisos eventuales o de temporada autorizados (art. 33 del Reglamento para el Uso de la Vía Pública en el Ejercicio de la Actividad Comercial en Monterrey,N.L.)</t>
  </si>
  <si>
    <t>*(3) Reubicación de comerciantes de vía pública</t>
  </si>
  <si>
    <t>Operativos</t>
  </si>
  <si>
    <t>*(2) Operativos de comercio en vía pública</t>
  </si>
  <si>
    <t>*(2) Operativos en mercados rodantes</t>
  </si>
  <si>
    <t>Total de operativos</t>
  </si>
  <si>
    <t>Atención ciudadana</t>
  </si>
  <si>
    <t>Atención ciudadana en las oficinas de la Dirección de Comercio</t>
  </si>
  <si>
    <t xml:space="preserve">Quejas recibidas </t>
  </si>
  <si>
    <t xml:space="preserve">Quejas resueltas </t>
  </si>
  <si>
    <t>Retención, bajas, multas y/o amonestaciones</t>
  </si>
  <si>
    <t xml:space="preserve">Retenciones - Actas de levantamiento de enseres </t>
  </si>
  <si>
    <t>Bajas de retenciones por perecederos</t>
  </si>
  <si>
    <t>Amonestaciones</t>
  </si>
  <si>
    <t>Multas aplicadas</t>
  </si>
  <si>
    <t>Ingresos</t>
  </si>
  <si>
    <t>Ingreso recaudado por multas (cta. 4181)</t>
  </si>
  <si>
    <t>Ingresos por ocupación vía pública  (cta. 2810)</t>
  </si>
  <si>
    <t>Ingresos por ocupación vía pública provisional (cta. 2811)</t>
  </si>
  <si>
    <t>Aportación por administración (cta. 2814)</t>
  </si>
  <si>
    <t>Mercados rodantes (cta 2815)</t>
  </si>
  <si>
    <t>Ingresos por mercados municipales</t>
  </si>
  <si>
    <t>Ingresos por baños públicos</t>
  </si>
  <si>
    <t>Ingresos totales</t>
  </si>
  <si>
    <t>Comercio</t>
  </si>
  <si>
    <t xml:space="preserve">Secretaría del Ayuntamiento - Dirección de Comercio </t>
  </si>
  <si>
    <t>NOTA:</t>
  </si>
  <si>
    <t>*(1) Los permisos eventuales o de temporada se registran en las cuentas 2811, dichos permisos no incrementan el Padrón de Comerciantes.</t>
  </si>
  <si>
    <t>*(2) Operativo significa acciones especiales de inspección y aplicación del reglamento para efectos de reubicación y/o retención de mercancías,  implantadas para verificar aspectos específicos.</t>
  </si>
  <si>
    <t>*(3) Los oferentes de puestos fijos y semifijos que cuentan con un numero de folio otorgado por la Dirección de Comercio, tienen asignada una dirección de trabajo autorizada, se consideran reubicaciones, cuando en beneficio de los comerciantes o de la ciudadanía, se les asigna una ubicación de trabajo diferente, aún sin cambiar al oferente del domicilio señalado en su folio.</t>
  </si>
  <si>
    <t>Nota: La Cuenta 2814 (Ene, Feb-2012) fue reportada por la Direccion de Ingresos en virtud de haber aportacion en dicho rubro.</t>
  </si>
  <si>
    <t>Expedición de Pasaportes</t>
  </si>
  <si>
    <t>Total de tramites</t>
  </si>
  <si>
    <t>Ingreso por cuota municipal por expedición de pasaportes</t>
  </si>
  <si>
    <t>Total de ingresos Municipales</t>
  </si>
  <si>
    <t>Reclutamiento</t>
  </si>
  <si>
    <t>Informacion para la inscripción de jovenes al SMN</t>
  </si>
  <si>
    <t>Jovenes que se registraron para su servicio SMN</t>
  </si>
  <si>
    <t>Secretaría del Ayuntamiento - Dirección de Concertación Social</t>
  </si>
  <si>
    <t>Asuntos Recibidos</t>
  </si>
  <si>
    <t>Amparo</t>
  </si>
  <si>
    <t>Fiscal</t>
  </si>
  <si>
    <t>Penal</t>
  </si>
  <si>
    <t>Civil</t>
  </si>
  <si>
    <t>Mercantil</t>
  </si>
  <si>
    <t>Concencioso Administrativo</t>
  </si>
  <si>
    <t>CEDH</t>
  </si>
  <si>
    <t>Asuntos Concluidos</t>
  </si>
  <si>
    <t>Asuntos a Favor del Municipio</t>
  </si>
  <si>
    <t>Asuntos en Contra del Municipio</t>
  </si>
  <si>
    <t>Revisiones</t>
  </si>
  <si>
    <t>Consultas</t>
  </si>
  <si>
    <t>Contratos</t>
  </si>
  <si>
    <t>Certificaciones</t>
  </si>
  <si>
    <t>Personas Detenidas</t>
  </si>
  <si>
    <t>Centro</t>
  </si>
  <si>
    <t>Norte</t>
  </si>
  <si>
    <t>Sur</t>
  </si>
  <si>
    <t>Total</t>
  </si>
  <si>
    <t>Fortalecimiento del Sistema Juridico Municipal para La Prevención de Controversias</t>
  </si>
  <si>
    <t>No. de Reglamentos Revisados</t>
  </si>
  <si>
    <t>No. de Reglamentos Adecuados</t>
  </si>
  <si>
    <t>Recursos de Inconformidad</t>
  </si>
  <si>
    <t xml:space="preserve">Recursos de Inconformidad Recibidos </t>
  </si>
  <si>
    <t>Recursos de Inconformidad Concluidos</t>
  </si>
  <si>
    <t>Recursos de Inconformidad a Favor</t>
  </si>
  <si>
    <t>Recursos de Inconformidad en Contra</t>
  </si>
  <si>
    <t>Anuencia Municipal para Permisos de Alcoholes</t>
  </si>
  <si>
    <t>Sesiones Ordinarias realizadas</t>
  </si>
  <si>
    <t>Sesiones Extraordinarias realizadas</t>
  </si>
  <si>
    <t>Sesiones Solemnes realizadas</t>
  </si>
  <si>
    <t>Acuerdos por Unanimidad</t>
  </si>
  <si>
    <t>Acuerdos por Mayoría</t>
  </si>
  <si>
    <t>Total de Acuerdos del Ayuntamiento</t>
  </si>
  <si>
    <t>Gaceta Municipal (Total de Publicaciones)</t>
  </si>
  <si>
    <t>Cantidad de publicaciones realizadas en el período</t>
  </si>
  <si>
    <t>Expedición y/o Reforma a los Reglamentos</t>
  </si>
  <si>
    <t>Asesoría a Comisiones</t>
  </si>
  <si>
    <t>Elaboración de Propuestas de Dictámenes y Puntos de Acuerdo</t>
  </si>
  <si>
    <t>Personas Atendidas en el Archivo Histórico</t>
  </si>
  <si>
    <t>Publicaciones en el Portal del Archivo Histórico</t>
  </si>
  <si>
    <t>Solicitud y/o búsqueda de documentos, copias simples y/o certificadas</t>
  </si>
  <si>
    <t>Cantidad de asesorías y orientaciones a actores de grupos religiosos</t>
  </si>
  <si>
    <t>Secretaría del Ayuntamiento - Dirección de Atención a Grupos Religiosos</t>
  </si>
  <si>
    <t>Secretaría del Ayuntamiento - Dirección de Asuntos Jurídicos</t>
  </si>
  <si>
    <t>Secretaría del Ayuntamiento - Dirección de Verificación, Inspección y Vigilancia</t>
  </si>
  <si>
    <t>Secretaría del Ayuntamiento - Dirección de Gobierno y Asuntos Políticos</t>
  </si>
  <si>
    <t>Nombre del indicador/variable</t>
  </si>
  <si>
    <t>-</t>
  </si>
  <si>
    <t>Porcentaje de Sesiones Extraordinarias realizadas</t>
  </si>
  <si>
    <t>Porcentaje de Acuerdos aprobados del Ayuntamiento</t>
  </si>
  <si>
    <t>Realizar la publicación de Gaceta Municipal Ordinaria</t>
  </si>
  <si>
    <t>Porcentaje de publicaciones realizadas en el Periodico Oficial del Estado (POE)</t>
  </si>
  <si>
    <t>Realizar sesiones de Comisiones con miembros del Cabildo</t>
  </si>
  <si>
    <t>Porcentaje dePropuestas de Dictámenes y Puntos de Acuerdo elaborados</t>
  </si>
  <si>
    <t>Integración de Carpetas de Archivos de sesiones de Cabildo</t>
  </si>
  <si>
    <t>Secretaría del Ayuntamiento - Dirección General de Gobierno y Asuntos Interinstitucionales</t>
  </si>
  <si>
    <t>Certificaciones realizadas</t>
  </si>
  <si>
    <t>Publicaciones realizadas en el Portal del Archivo Histórico</t>
  </si>
  <si>
    <t>Digitalizaciones al Acervo Histórico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</si>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</sst>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#,##0_ ;\-#,##0\ "/>
    <numFmt numFmtId="165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9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Cambria"/>
      <family val="1"/>
    </font>
    <font>
      <b/>
      <sz val="10"/>
      <name val="Cambria"/>
      <family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2">
    <xf numFmtId="0" fontId="0" fillId="0" borderId="0"/>
    <xf numFmtId="44" fontId="4" fillId="0" borderId="0" applyFont="0" applyFill="0" applyBorder="0" applyAlignment="0" applyProtection="0"/>
    <xf numFmtId="0" fontId="1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164" fontId="0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5" fontId="12" fillId="5" borderId="4" xfId="0" applyNumberFormat="1" applyFont="1" applyFill="1" applyBorder="1" applyAlignment="1">
      <alignment horizontal="center" vertical="center" wrapText="1"/>
    </xf>
    <xf numFmtId="165" fontId="13" fillId="5" borderId="4" xfId="0" applyNumberFormat="1" applyFont="1" applyFill="1" applyBorder="1" applyAlignment="1">
      <alignment horizontal="center" vertical="center" wrapText="1"/>
    </xf>
    <xf numFmtId="165" fontId="13" fillId="6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0" fillId="0" borderId="1" xfId="1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7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5" applyFont="1" applyBorder="1" applyAlignment="1">
      <alignment horizontal="center" vertical="center"/>
    </xf>
    <xf numFmtId="164" fontId="0" fillId="0" borderId="1" xfId="5" applyNumberFormat="1" applyFont="1" applyBorder="1" applyAlignment="1">
      <alignment horizontal="center" vertical="center"/>
    </xf>
    <xf numFmtId="164" fontId="0" fillId="0" borderId="1" xfId="5" applyNumberFormat="1" applyFont="1" applyFill="1" applyBorder="1" applyAlignment="1">
      <alignment horizontal="center" vertical="center"/>
    </xf>
    <xf numFmtId="7" fontId="0" fillId="0" borderId="1" xfId="5" applyNumberFormat="1" applyFont="1" applyBorder="1" applyAlignment="1">
      <alignment horizontal="center" vertical="center"/>
    </xf>
    <xf numFmtId="3" fontId="0" fillId="0" borderId="1" xfId="5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6" applyFont="1" applyBorder="1" applyAlignment="1">
      <alignment horizontal="center" vertical="center"/>
    </xf>
    <xf numFmtId="4" fontId="0" fillId="0" borderId="0" xfId="0" applyNumberFormat="1"/>
    <xf numFmtId="44" fontId="0" fillId="0" borderId="1" xfId="10" applyFont="1" applyBorder="1" applyAlignment="1">
      <alignment horizontal="center" vertical="center"/>
    </xf>
    <xf numFmtId="164" fontId="0" fillId="0" borderId="1" xfId="10" applyNumberFormat="1" applyFont="1" applyBorder="1" applyAlignment="1">
      <alignment horizontal="center" vertical="center"/>
    </xf>
    <xf numFmtId="3" fontId="0" fillId="0" borderId="1" xfId="10" applyNumberFormat="1" applyFont="1" applyBorder="1" applyAlignment="1">
      <alignment horizontal="center" vertical="center"/>
    </xf>
    <xf numFmtId="7" fontId="0" fillId="0" borderId="1" xfId="10" applyNumberFormat="1" applyFont="1" applyBorder="1" applyAlignment="1">
      <alignment horizontal="center" vertical="center"/>
    </xf>
    <xf numFmtId="164" fontId="0" fillId="0" borderId="1" xfId="10" applyNumberFormat="1" applyFont="1" applyBorder="1" applyAlignment="1">
      <alignment horizontal="center" vertical="center"/>
    </xf>
    <xf numFmtId="164" fontId="0" fillId="0" borderId="1" xfId="1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0" applyFont="1" applyBorder="1" applyAlignment="1">
      <alignment horizontal="center" vertical="center"/>
    </xf>
    <xf numFmtId="44" fontId="13" fillId="5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0" fillId="0" borderId="0" xfId="0" applyFont="1" applyBorder="1"/>
    <xf numFmtId="8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13" fillId="6" borderId="4" xfId="0" applyNumberFormat="1" applyFont="1" applyFill="1" applyBorder="1" applyAlignment="1">
      <alignment horizontal="center" vertical="center" wrapText="1"/>
    </xf>
    <xf numFmtId="0" fontId="14" fillId="6" borderId="4" xfId="0" applyNumberFormat="1" applyFont="1" applyFill="1" applyBorder="1" applyAlignment="1">
      <alignment horizontal="center" vertical="center" wrapText="1"/>
    </xf>
    <xf numFmtId="0" fontId="0" fillId="0" borderId="1" xfId="6" applyNumberFormat="1" applyFont="1" applyBorder="1" applyAlignment="1">
      <alignment horizontal="center" vertical="center"/>
    </xf>
    <xf numFmtId="0" fontId="0" fillId="0" borderId="1" xfId="10" applyNumberFormat="1" applyFont="1" applyBorder="1" applyAlignment="1">
      <alignment horizontal="center" vertical="center"/>
    </xf>
  </cellXfs>
  <cellStyles count="12">
    <cellStyle name="Moneda" xfId="1" builtinId="4"/>
    <cellStyle name="Moneda 2" xfId="3"/>
    <cellStyle name="Moneda 2 2" xfId="5"/>
    <cellStyle name="Moneda 2 2 2" xfId="10"/>
    <cellStyle name="Moneda 2 3" xfId="8"/>
    <cellStyle name="Moneda 3" xfId="4"/>
    <cellStyle name="Moneda 3 2" xfId="9"/>
    <cellStyle name="Moneda 4" xfId="6"/>
    <cellStyle name="Moneda 4 2" xfId="11"/>
    <cellStyle name="Moneda 5" xfId="7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1847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1086475</xdr:colOff>
      <xdr:row>2</xdr:row>
      <xdr:rowOff>228600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190500" y="0"/>
          <a:ext cx="149605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57150</xdr:rowOff>
    </xdr:from>
    <xdr:to>
      <xdr:col>2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1847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704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1124575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66675"/>
          <a:ext cx="1496050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1847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57150</xdr:rowOff>
    </xdr:from>
    <xdr:to>
      <xdr:col>2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184785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zoomScale="90" zoomScaleNormal="90" workbookViewId="0">
      <pane ySplit="3" topLeftCell="A8" activePane="bottomLeft" state="frozen"/>
      <selection pane="bottomLeft" activeCell="J26" sqref="J26"/>
    </sheetView>
  </sheetViews>
  <sheetFormatPr baseColWidth="10" defaultRowHeight="15" x14ac:dyDescent="0.25"/>
  <cols>
    <col min="1" max="1" width="5.5703125" customWidth="1"/>
    <col min="2" max="2" width="41.7109375" customWidth="1"/>
    <col min="3" max="14" width="15.42578125" bestFit="1" customWidth="1"/>
  </cols>
  <sheetData>
    <row r="1" spans="1:15" s="4" customFormat="1" ht="29.25" customHeight="1" x14ac:dyDescent="0.25">
      <c r="C1" s="61" t="s">
        <v>104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5" s="4" customFormat="1" ht="29.25" customHeight="1" x14ac:dyDescent="0.25">
      <c r="C2" s="62" t="s">
        <v>15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5" ht="22.5" customHeight="1" x14ac:dyDescent="0.25">
      <c r="A3" s="1" t="s">
        <v>0</v>
      </c>
      <c r="B3" s="1" t="s">
        <v>1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1" t="s">
        <v>2</v>
      </c>
    </row>
    <row r="4" spans="1:15" ht="30" customHeight="1" x14ac:dyDescent="0.25">
      <c r="A4" s="6">
        <v>1</v>
      </c>
      <c r="B4" s="7" t="s">
        <v>86</v>
      </c>
      <c r="C4" s="3">
        <v>2</v>
      </c>
      <c r="D4" s="3">
        <v>2</v>
      </c>
      <c r="E4" s="3">
        <v>2</v>
      </c>
      <c r="F4" s="3">
        <v>2</v>
      </c>
      <c r="G4" s="3"/>
      <c r="H4" s="3"/>
      <c r="I4" s="3"/>
      <c r="J4" s="3"/>
      <c r="K4" s="3"/>
      <c r="L4" s="3"/>
      <c r="M4" s="3"/>
      <c r="N4" s="3"/>
      <c r="O4" s="5">
        <f t="shared" ref="O4:O17" si="0">SUM(C4:N4)</f>
        <v>8</v>
      </c>
    </row>
    <row r="5" spans="1:15" ht="30" customHeight="1" x14ac:dyDescent="0.25">
      <c r="A5" s="6">
        <v>2</v>
      </c>
      <c r="B5" s="7" t="s">
        <v>87</v>
      </c>
      <c r="C5" s="3">
        <v>0</v>
      </c>
      <c r="D5" s="3">
        <v>1</v>
      </c>
      <c r="E5" s="3">
        <v>0</v>
      </c>
      <c r="F5" s="3">
        <v>0</v>
      </c>
      <c r="G5" s="3"/>
      <c r="H5" s="3"/>
      <c r="I5" s="3"/>
      <c r="J5" s="3"/>
      <c r="K5" s="3"/>
      <c r="L5" s="3"/>
      <c r="M5" s="3"/>
      <c r="N5" s="3"/>
      <c r="O5" s="5">
        <f t="shared" si="0"/>
        <v>1</v>
      </c>
    </row>
    <row r="6" spans="1:15" ht="30" customHeight="1" x14ac:dyDescent="0.25">
      <c r="A6" s="6">
        <v>3</v>
      </c>
      <c r="B6" s="7" t="s">
        <v>88</v>
      </c>
      <c r="C6" s="3">
        <v>0</v>
      </c>
      <c r="D6" s="3">
        <v>0</v>
      </c>
      <c r="E6" s="3">
        <v>0</v>
      </c>
      <c r="F6" s="3">
        <v>0</v>
      </c>
      <c r="G6" s="3"/>
      <c r="H6" s="3"/>
      <c r="I6" s="3"/>
      <c r="J6" s="3"/>
      <c r="K6" s="3"/>
      <c r="L6" s="3"/>
      <c r="M6" s="3"/>
      <c r="N6" s="3"/>
      <c r="O6" s="5">
        <f t="shared" si="0"/>
        <v>0</v>
      </c>
    </row>
    <row r="7" spans="1:15" ht="30" customHeight="1" x14ac:dyDescent="0.25">
      <c r="A7" s="6">
        <v>4</v>
      </c>
      <c r="B7" s="7" t="s">
        <v>89</v>
      </c>
      <c r="C7" s="3">
        <v>14</v>
      </c>
      <c r="D7" s="3">
        <v>20</v>
      </c>
      <c r="E7" s="3">
        <v>16</v>
      </c>
      <c r="F7" s="3">
        <v>18</v>
      </c>
      <c r="G7" s="3"/>
      <c r="H7" s="3"/>
      <c r="I7" s="3"/>
      <c r="J7" s="3"/>
      <c r="K7" s="3"/>
      <c r="L7" s="3"/>
      <c r="M7" s="3"/>
      <c r="N7" s="3"/>
      <c r="O7" s="5">
        <f t="shared" si="0"/>
        <v>68</v>
      </c>
    </row>
    <row r="8" spans="1:15" ht="30" customHeight="1" x14ac:dyDescent="0.25">
      <c r="A8" s="6">
        <v>5</v>
      </c>
      <c r="B8" s="7" t="s">
        <v>90</v>
      </c>
      <c r="C8" s="3">
        <v>0</v>
      </c>
      <c r="D8" s="3">
        <v>0</v>
      </c>
      <c r="E8" s="3">
        <v>0</v>
      </c>
      <c r="F8" s="3">
        <v>0</v>
      </c>
      <c r="G8" s="3"/>
      <c r="H8" s="3"/>
      <c r="I8" s="3"/>
      <c r="J8" s="3"/>
      <c r="K8" s="3"/>
      <c r="L8" s="3"/>
      <c r="M8" s="3"/>
      <c r="N8" s="3"/>
      <c r="O8" s="5">
        <f t="shared" si="0"/>
        <v>0</v>
      </c>
    </row>
    <row r="9" spans="1:15" ht="30" customHeight="1" x14ac:dyDescent="0.25">
      <c r="A9" s="6">
        <v>6</v>
      </c>
      <c r="B9" s="7" t="s">
        <v>91</v>
      </c>
      <c r="C9" s="3">
        <v>14</v>
      </c>
      <c r="D9" s="3">
        <v>20</v>
      </c>
      <c r="E9" s="3">
        <v>16</v>
      </c>
      <c r="F9" s="3">
        <v>18</v>
      </c>
      <c r="G9" s="3"/>
      <c r="H9" s="3"/>
      <c r="I9" s="3"/>
      <c r="J9" s="3"/>
      <c r="K9" s="3"/>
      <c r="L9" s="3"/>
      <c r="M9" s="3"/>
      <c r="N9" s="3"/>
      <c r="O9" s="5">
        <f t="shared" si="0"/>
        <v>68</v>
      </c>
    </row>
    <row r="10" spans="1:15" ht="30" customHeight="1" x14ac:dyDescent="0.25">
      <c r="A10" s="6">
        <v>7</v>
      </c>
      <c r="B10" s="7" t="s">
        <v>92</v>
      </c>
      <c r="C10" s="3">
        <v>25</v>
      </c>
      <c r="D10" s="3">
        <v>22</v>
      </c>
      <c r="E10" s="3">
        <v>32</v>
      </c>
      <c r="F10" s="3">
        <v>19</v>
      </c>
      <c r="G10" s="3"/>
      <c r="H10" s="3"/>
      <c r="I10" s="3"/>
      <c r="J10" s="3"/>
      <c r="K10" s="3"/>
      <c r="L10" s="3"/>
      <c r="M10" s="3"/>
      <c r="N10" s="3"/>
      <c r="O10" s="5">
        <f t="shared" si="0"/>
        <v>98</v>
      </c>
    </row>
    <row r="11" spans="1:15" ht="30" customHeight="1" x14ac:dyDescent="0.25">
      <c r="A11" s="6">
        <v>8</v>
      </c>
      <c r="B11" s="7" t="s">
        <v>93</v>
      </c>
      <c r="C11" s="3">
        <v>10</v>
      </c>
      <c r="D11" s="3">
        <v>12</v>
      </c>
      <c r="E11" s="3">
        <v>9</v>
      </c>
      <c r="F11" s="22">
        <v>3</v>
      </c>
      <c r="G11" s="3"/>
      <c r="H11" s="3"/>
      <c r="I11" s="3"/>
      <c r="J11" s="3"/>
      <c r="K11" s="3"/>
      <c r="L11" s="3"/>
      <c r="M11" s="3"/>
      <c r="N11" s="3"/>
      <c r="O11" s="5">
        <f t="shared" si="0"/>
        <v>34</v>
      </c>
    </row>
    <row r="12" spans="1:15" ht="30" customHeight="1" x14ac:dyDescent="0.25">
      <c r="A12" s="6">
        <v>9</v>
      </c>
      <c r="B12" s="7" t="s">
        <v>94</v>
      </c>
      <c r="C12" s="3">
        <v>0</v>
      </c>
      <c r="D12" s="3">
        <v>1</v>
      </c>
      <c r="E12" s="3">
        <v>2</v>
      </c>
      <c r="F12" s="3">
        <v>0</v>
      </c>
      <c r="G12" s="3"/>
      <c r="H12" s="3"/>
      <c r="I12" s="3"/>
      <c r="J12" s="3"/>
      <c r="K12" s="3"/>
      <c r="L12" s="3"/>
      <c r="M12" s="3"/>
      <c r="N12" s="3"/>
      <c r="O12" s="5">
        <f t="shared" si="0"/>
        <v>3</v>
      </c>
    </row>
    <row r="13" spans="1:15" ht="30" customHeight="1" x14ac:dyDescent="0.25">
      <c r="A13" s="6">
        <v>10</v>
      </c>
      <c r="B13" s="7" t="s">
        <v>95</v>
      </c>
      <c r="C13" s="3">
        <v>5</v>
      </c>
      <c r="D13" s="3">
        <v>14</v>
      </c>
      <c r="E13" s="3">
        <v>18</v>
      </c>
      <c r="F13" s="3">
        <v>7</v>
      </c>
      <c r="G13" s="3"/>
      <c r="H13" s="3"/>
      <c r="I13" s="3"/>
      <c r="J13" s="3"/>
      <c r="K13" s="3"/>
      <c r="L13" s="3"/>
      <c r="M13" s="3"/>
      <c r="N13" s="3"/>
      <c r="O13" s="5">
        <f t="shared" si="0"/>
        <v>44</v>
      </c>
    </row>
    <row r="14" spans="1:15" ht="30" customHeight="1" x14ac:dyDescent="0.25">
      <c r="A14" s="6">
        <v>11</v>
      </c>
      <c r="B14" s="7" t="s">
        <v>96</v>
      </c>
      <c r="C14" s="3">
        <v>12</v>
      </c>
      <c r="D14" s="3">
        <v>18</v>
      </c>
      <c r="E14" s="3">
        <v>18</v>
      </c>
      <c r="F14" s="3">
        <v>19</v>
      </c>
      <c r="G14" s="3"/>
      <c r="H14" s="3"/>
      <c r="I14" s="3"/>
      <c r="J14" s="3"/>
      <c r="K14" s="3"/>
      <c r="L14" s="3"/>
      <c r="M14" s="3"/>
      <c r="N14" s="3"/>
      <c r="O14" s="5">
        <f t="shared" si="0"/>
        <v>67</v>
      </c>
    </row>
    <row r="15" spans="1:15" ht="30" customHeight="1" x14ac:dyDescent="0.25">
      <c r="A15" s="6">
        <v>12</v>
      </c>
      <c r="B15" s="7" t="s">
        <v>97</v>
      </c>
      <c r="C15" s="3">
        <v>4948</v>
      </c>
      <c r="D15" s="3">
        <v>2609</v>
      </c>
      <c r="E15" s="3">
        <v>4470</v>
      </c>
      <c r="F15" s="3">
        <v>2888</v>
      </c>
      <c r="G15" s="3"/>
      <c r="H15" s="3"/>
      <c r="I15" s="3"/>
      <c r="J15" s="3"/>
      <c r="K15" s="3"/>
      <c r="L15" s="3"/>
      <c r="M15" s="3"/>
      <c r="N15" s="3"/>
      <c r="O15" s="5">
        <f t="shared" si="0"/>
        <v>14915</v>
      </c>
    </row>
    <row r="16" spans="1:15" ht="30" customHeight="1" x14ac:dyDescent="0.25">
      <c r="A16" s="6">
        <v>13</v>
      </c>
      <c r="B16" s="7" t="s">
        <v>98</v>
      </c>
      <c r="C16" s="3">
        <v>23</v>
      </c>
      <c r="D16" s="3">
        <v>20</v>
      </c>
      <c r="E16" s="3">
        <v>26</v>
      </c>
      <c r="F16" s="3">
        <v>23</v>
      </c>
      <c r="G16" s="3"/>
      <c r="H16" s="3"/>
      <c r="I16" s="3"/>
      <c r="J16" s="3"/>
      <c r="K16" s="3"/>
      <c r="L16" s="3"/>
      <c r="M16" s="3"/>
      <c r="N16" s="3"/>
      <c r="O16" s="5">
        <f t="shared" si="0"/>
        <v>92</v>
      </c>
    </row>
    <row r="17" spans="1:15" ht="30" customHeight="1" x14ac:dyDescent="0.25">
      <c r="A17" s="6">
        <v>14</v>
      </c>
      <c r="B17" s="7" t="s">
        <v>99</v>
      </c>
      <c r="C17" s="3">
        <v>2060</v>
      </c>
      <c r="D17" s="3">
        <v>3078</v>
      </c>
      <c r="E17" s="3">
        <v>5564</v>
      </c>
      <c r="F17" s="3">
        <v>5557</v>
      </c>
      <c r="G17" s="3"/>
      <c r="H17" s="3"/>
      <c r="I17" s="3"/>
      <c r="J17" s="3"/>
      <c r="K17" s="3"/>
      <c r="L17" s="3"/>
      <c r="M17" s="3"/>
      <c r="N17" s="3"/>
      <c r="O17" s="5">
        <f t="shared" si="0"/>
        <v>16259</v>
      </c>
    </row>
  </sheetData>
  <mergeCells count="2">
    <mergeCell ref="C1:N1"/>
    <mergeCell ref="C2:N2"/>
  </mergeCells>
  <pageMargins left="0.25" right="0.25" top="0.75" bottom="0.75" header="0.3" footer="0.3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N4" sqref="N4"/>
    </sheetView>
  </sheetViews>
  <sheetFormatPr baseColWidth="10" defaultRowHeight="15" x14ac:dyDescent="0.25"/>
  <cols>
    <col min="1" max="1" width="5.28515625" customWidth="1"/>
    <col min="2" max="2" width="32.5703125" customWidth="1"/>
  </cols>
  <sheetData>
    <row r="1" spans="1:15" ht="21" x14ac:dyDescent="0.25">
      <c r="A1" s="30"/>
      <c r="B1" s="30"/>
      <c r="C1" s="61" t="s">
        <v>104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0"/>
    </row>
    <row r="2" spans="1:15" ht="18.75" x14ac:dyDescent="0.25">
      <c r="A2" s="30"/>
      <c r="B2" s="30"/>
      <c r="C2" s="62" t="s">
        <v>15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0"/>
    </row>
    <row r="3" spans="1:15" x14ac:dyDescent="0.25">
      <c r="A3" s="27" t="s">
        <v>0</v>
      </c>
      <c r="B3" s="27" t="s">
        <v>1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7" t="s">
        <v>2</v>
      </c>
    </row>
    <row r="4" spans="1:15" x14ac:dyDescent="0.25">
      <c r="A4" s="32">
        <v>1</v>
      </c>
      <c r="B4" s="33" t="s">
        <v>86</v>
      </c>
      <c r="C4" s="29">
        <v>2</v>
      </c>
      <c r="D4" s="29">
        <v>2</v>
      </c>
      <c r="E4" s="29">
        <v>2</v>
      </c>
      <c r="F4" s="29">
        <v>2</v>
      </c>
      <c r="G4" s="29">
        <v>2</v>
      </c>
      <c r="H4" s="29">
        <v>2</v>
      </c>
      <c r="I4" s="29">
        <v>2</v>
      </c>
      <c r="J4" s="29">
        <v>2</v>
      </c>
      <c r="K4" s="42">
        <v>2</v>
      </c>
      <c r="L4" s="60">
        <v>2</v>
      </c>
      <c r="M4" s="60">
        <v>2</v>
      </c>
      <c r="N4" s="60">
        <v>2</v>
      </c>
      <c r="O4" s="31">
        <f t="shared" ref="O4:O11" si="0">SUM(C4:N4)</f>
        <v>24</v>
      </c>
    </row>
    <row r="5" spans="1:15" ht="30" x14ac:dyDescent="0.25">
      <c r="A5" s="32">
        <v>2</v>
      </c>
      <c r="B5" s="33" t="s">
        <v>107</v>
      </c>
      <c r="C5" s="29">
        <v>0</v>
      </c>
      <c r="D5" s="29">
        <v>1</v>
      </c>
      <c r="E5" s="29">
        <v>0</v>
      </c>
      <c r="F5" s="29">
        <v>0</v>
      </c>
      <c r="G5" s="29">
        <v>0</v>
      </c>
      <c r="H5" s="29">
        <v>0</v>
      </c>
      <c r="I5" s="29">
        <v>1</v>
      </c>
      <c r="J5" s="29">
        <v>0</v>
      </c>
      <c r="K5" s="42">
        <v>1</v>
      </c>
      <c r="L5" s="60">
        <v>0</v>
      </c>
      <c r="M5" s="60">
        <v>0</v>
      </c>
      <c r="N5" s="60">
        <v>0</v>
      </c>
      <c r="O5" s="31">
        <f t="shared" si="0"/>
        <v>3</v>
      </c>
    </row>
    <row r="6" spans="1:15" x14ac:dyDescent="0.25">
      <c r="A6" s="32">
        <v>3</v>
      </c>
      <c r="B6" s="33" t="s">
        <v>88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1</v>
      </c>
      <c r="J6" s="29">
        <v>0</v>
      </c>
      <c r="K6" s="42">
        <v>3</v>
      </c>
      <c r="L6" s="60">
        <v>1</v>
      </c>
      <c r="M6" s="60">
        <v>0</v>
      </c>
      <c r="N6" s="60">
        <v>1</v>
      </c>
      <c r="O6" s="31">
        <f t="shared" si="0"/>
        <v>6</v>
      </c>
    </row>
    <row r="7" spans="1:15" ht="30" x14ac:dyDescent="0.25">
      <c r="A7" s="32">
        <v>4</v>
      </c>
      <c r="B7" s="33" t="s">
        <v>108</v>
      </c>
      <c r="C7" s="29">
        <v>14</v>
      </c>
      <c r="D7" s="29">
        <v>20</v>
      </c>
      <c r="E7" s="29">
        <v>16</v>
      </c>
      <c r="F7" s="29">
        <v>18</v>
      </c>
      <c r="G7" s="29">
        <v>23</v>
      </c>
      <c r="H7" s="29">
        <v>28</v>
      </c>
      <c r="I7" s="34">
        <v>30</v>
      </c>
      <c r="J7" s="29">
        <v>30</v>
      </c>
      <c r="K7" s="42">
        <v>26</v>
      </c>
      <c r="L7" s="60">
        <v>28</v>
      </c>
      <c r="M7" s="60">
        <v>31</v>
      </c>
      <c r="N7" s="60">
        <v>27</v>
      </c>
      <c r="O7" s="31">
        <f t="shared" si="0"/>
        <v>291</v>
      </c>
    </row>
    <row r="8" spans="1:15" ht="30" x14ac:dyDescent="0.25">
      <c r="A8" s="32">
        <v>5</v>
      </c>
      <c r="B8" s="33" t="s">
        <v>109</v>
      </c>
      <c r="C8" s="29">
        <v>25</v>
      </c>
      <c r="D8" s="29">
        <v>22</v>
      </c>
      <c r="E8" s="29"/>
      <c r="F8" s="29"/>
      <c r="G8" s="29"/>
      <c r="H8" s="29"/>
      <c r="I8" s="29">
        <v>1</v>
      </c>
      <c r="J8" s="29">
        <v>1</v>
      </c>
      <c r="K8" s="42">
        <v>1</v>
      </c>
      <c r="L8" s="60">
        <v>1</v>
      </c>
      <c r="M8" s="60">
        <v>1</v>
      </c>
      <c r="N8" s="60">
        <v>1</v>
      </c>
      <c r="O8" s="31">
        <f t="shared" si="0"/>
        <v>53</v>
      </c>
    </row>
    <row r="9" spans="1:15" ht="45" x14ac:dyDescent="0.25">
      <c r="A9" s="32">
        <v>6</v>
      </c>
      <c r="B9" s="33" t="s">
        <v>110</v>
      </c>
      <c r="C9" s="29">
        <v>10</v>
      </c>
      <c r="D9" s="29">
        <v>12</v>
      </c>
      <c r="E9" s="29">
        <v>9</v>
      </c>
      <c r="F9" s="29">
        <v>3</v>
      </c>
      <c r="G9" s="29">
        <v>15</v>
      </c>
      <c r="H9" s="29">
        <v>13</v>
      </c>
      <c r="I9" s="29">
        <v>6</v>
      </c>
      <c r="J9" s="29">
        <v>14</v>
      </c>
      <c r="K9" s="42">
        <v>18</v>
      </c>
      <c r="L9" s="60">
        <v>10</v>
      </c>
      <c r="M9" s="60">
        <v>8</v>
      </c>
      <c r="N9" s="60">
        <v>1</v>
      </c>
      <c r="O9" s="31">
        <f t="shared" si="0"/>
        <v>119</v>
      </c>
    </row>
    <row r="10" spans="1:15" ht="30" x14ac:dyDescent="0.25">
      <c r="A10" s="32">
        <v>7</v>
      </c>
      <c r="B10" s="33" t="s">
        <v>111</v>
      </c>
      <c r="C10" s="29">
        <v>5</v>
      </c>
      <c r="D10" s="29">
        <v>14</v>
      </c>
      <c r="E10" s="29"/>
      <c r="F10" s="29"/>
      <c r="G10" s="29"/>
      <c r="H10" s="29"/>
      <c r="I10" s="29">
        <v>13</v>
      </c>
      <c r="J10" s="29">
        <v>17</v>
      </c>
      <c r="K10" s="42">
        <v>15</v>
      </c>
      <c r="L10" s="60">
        <v>13</v>
      </c>
      <c r="M10" s="60">
        <v>19</v>
      </c>
      <c r="N10" s="60">
        <v>7</v>
      </c>
      <c r="O10" s="31">
        <f t="shared" si="0"/>
        <v>103</v>
      </c>
    </row>
    <row r="11" spans="1:15" ht="45" x14ac:dyDescent="0.25">
      <c r="A11" s="32">
        <v>8</v>
      </c>
      <c r="B11" s="33" t="s">
        <v>112</v>
      </c>
      <c r="C11" s="29">
        <v>12</v>
      </c>
      <c r="D11" s="29">
        <v>18</v>
      </c>
      <c r="E11" s="29"/>
      <c r="F11" s="29"/>
      <c r="G11" s="29"/>
      <c r="H11" s="29"/>
      <c r="I11" s="29">
        <v>21</v>
      </c>
      <c r="J11" s="29">
        <v>23</v>
      </c>
      <c r="K11" s="42">
        <v>13</v>
      </c>
      <c r="L11" s="60">
        <v>20</v>
      </c>
      <c r="M11" s="60">
        <v>26</v>
      </c>
      <c r="N11" s="60">
        <v>21</v>
      </c>
      <c r="O11" s="31">
        <f t="shared" si="0"/>
        <v>154</v>
      </c>
    </row>
    <row r="12" spans="1:15" ht="30" x14ac:dyDescent="0.25">
      <c r="A12" s="32">
        <v>9</v>
      </c>
      <c r="B12" s="33" t="s">
        <v>113</v>
      </c>
      <c r="C12" s="29"/>
      <c r="D12" s="29"/>
      <c r="E12" s="29">
        <v>2</v>
      </c>
      <c r="F12" s="29">
        <v>2</v>
      </c>
      <c r="G12" s="29">
        <v>2</v>
      </c>
      <c r="H12" s="29">
        <v>2</v>
      </c>
      <c r="I12" s="29">
        <v>4</v>
      </c>
      <c r="J12" s="29">
        <v>2</v>
      </c>
      <c r="K12" s="42">
        <v>6</v>
      </c>
      <c r="L12" s="60">
        <v>3</v>
      </c>
      <c r="M12" s="60">
        <v>2</v>
      </c>
      <c r="N12" s="60">
        <v>3</v>
      </c>
      <c r="O12" s="31">
        <f>SUM(C12:N12)</f>
        <v>28</v>
      </c>
    </row>
    <row r="48" spans="16:16" x14ac:dyDescent="0.25">
      <c r="P48" t="e">
        <f>SUM('TEC1'!O12D48:O48)</f>
        <v>#NAME?</v>
      </c>
    </row>
  </sheetData>
  <mergeCells count="2">
    <mergeCell ref="C1:N1"/>
    <mergeCell ref="C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N7" sqref="N7"/>
    </sheetView>
  </sheetViews>
  <sheetFormatPr baseColWidth="10" defaultRowHeight="15" x14ac:dyDescent="0.25"/>
  <cols>
    <col min="1" max="1" width="9" customWidth="1"/>
    <col min="2" max="2" width="22.85546875" customWidth="1"/>
  </cols>
  <sheetData>
    <row r="1" spans="1:15" ht="21" x14ac:dyDescent="0.25">
      <c r="A1" s="4"/>
      <c r="B1" s="4"/>
      <c r="C1" s="61" t="s">
        <v>114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4"/>
    </row>
    <row r="2" spans="1:15" ht="21" x14ac:dyDescent="0.25">
      <c r="A2" s="4"/>
      <c r="B2" s="4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"/>
    </row>
    <row r="3" spans="1:15" ht="18.75" x14ac:dyDescent="0.25">
      <c r="A3" s="4"/>
      <c r="B3" s="4"/>
      <c r="C3" s="62" t="s">
        <v>15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4"/>
    </row>
    <row r="4" spans="1:15" x14ac:dyDescent="0.25">
      <c r="A4" s="1" t="s">
        <v>0</v>
      </c>
      <c r="B4" s="1" t="s">
        <v>1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1" t="s">
        <v>2</v>
      </c>
    </row>
    <row r="5" spans="1:15" ht="30" x14ac:dyDescent="0.25">
      <c r="A5" s="6">
        <v>1</v>
      </c>
      <c r="B5" s="7" t="s">
        <v>115</v>
      </c>
      <c r="C5" s="3"/>
      <c r="D5" s="3"/>
      <c r="E5" s="3"/>
      <c r="F5" s="3"/>
      <c r="G5" s="3"/>
      <c r="H5" s="25"/>
      <c r="I5" s="3">
        <v>1</v>
      </c>
      <c r="J5" s="3">
        <v>1</v>
      </c>
      <c r="K5" s="41">
        <v>1</v>
      </c>
      <c r="L5" s="60">
        <v>0</v>
      </c>
      <c r="M5" s="60">
        <v>0</v>
      </c>
      <c r="N5" s="60">
        <v>1</v>
      </c>
      <c r="O5" s="5">
        <f t="shared" ref="O5:O8" si="0">SUM(C5:N5)</f>
        <v>4</v>
      </c>
    </row>
    <row r="6" spans="1:15" ht="45" x14ac:dyDescent="0.25">
      <c r="A6" s="6">
        <v>2</v>
      </c>
      <c r="B6" s="7" t="s">
        <v>116</v>
      </c>
      <c r="C6" s="26">
        <v>23</v>
      </c>
      <c r="D6" s="3">
        <v>20</v>
      </c>
      <c r="E6" s="3">
        <v>26</v>
      </c>
      <c r="F6" s="3">
        <v>23</v>
      </c>
      <c r="G6" s="3">
        <v>24</v>
      </c>
      <c r="H6" s="25">
        <v>26</v>
      </c>
      <c r="I6" s="3">
        <v>22</v>
      </c>
      <c r="J6" s="3">
        <v>23</v>
      </c>
      <c r="K6" s="41">
        <v>24</v>
      </c>
      <c r="L6" s="60">
        <v>21</v>
      </c>
      <c r="M6" s="60">
        <v>21</v>
      </c>
      <c r="N6" s="60">
        <v>24</v>
      </c>
      <c r="O6" s="5">
        <f t="shared" si="0"/>
        <v>277</v>
      </c>
    </row>
    <row r="7" spans="1:15" ht="45" x14ac:dyDescent="0.25">
      <c r="A7" s="6">
        <v>3</v>
      </c>
      <c r="B7" s="7" t="s">
        <v>99</v>
      </c>
      <c r="C7" s="3">
        <v>2060</v>
      </c>
      <c r="D7" s="3">
        <v>3078</v>
      </c>
      <c r="E7" s="3">
        <v>5564</v>
      </c>
      <c r="F7" s="3">
        <v>5557</v>
      </c>
      <c r="G7" s="3">
        <v>11144</v>
      </c>
      <c r="H7" s="25">
        <v>91</v>
      </c>
      <c r="I7" s="3">
        <v>76</v>
      </c>
      <c r="J7" s="3">
        <v>52</v>
      </c>
      <c r="K7" s="41">
        <v>42</v>
      </c>
      <c r="L7" s="60">
        <v>57</v>
      </c>
      <c r="M7" s="60">
        <v>19</v>
      </c>
      <c r="N7" s="60">
        <v>15</v>
      </c>
      <c r="O7" s="5">
        <f t="shared" si="0"/>
        <v>27755</v>
      </c>
    </row>
    <row r="8" spans="1:15" ht="30" x14ac:dyDescent="0.25">
      <c r="A8" s="6">
        <v>4</v>
      </c>
      <c r="B8" s="7" t="s">
        <v>117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25">
        <v>0</v>
      </c>
      <c r="I8" s="22">
        <v>0</v>
      </c>
      <c r="J8" s="3">
        <v>0</v>
      </c>
      <c r="K8" s="41">
        <v>0</v>
      </c>
      <c r="L8" s="60">
        <v>0</v>
      </c>
      <c r="M8" s="60">
        <v>0</v>
      </c>
      <c r="N8" s="60">
        <v>0</v>
      </c>
      <c r="O8" s="5">
        <f t="shared" si="0"/>
        <v>0</v>
      </c>
    </row>
  </sheetData>
  <mergeCells count="2">
    <mergeCell ref="C1:N1"/>
    <mergeCell ref="C3:N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showGridLines="0" tabSelected="1" workbookViewId="0">
      <pane ySplit="3" topLeftCell="A4" activePane="bottomLeft" state="frozen"/>
      <selection pane="bottomLeft" activeCell="L21" sqref="L21"/>
    </sheetView>
  </sheetViews>
  <sheetFormatPr baseColWidth="10" defaultRowHeight="15" x14ac:dyDescent="0.25"/>
  <cols>
    <col min="1" max="1" width="5.5703125" customWidth="1"/>
    <col min="2" max="2" width="17.140625" customWidth="1"/>
    <col min="3" max="3" width="34.28515625" customWidth="1"/>
    <col min="4" max="15" width="15.42578125" bestFit="1" customWidth="1"/>
    <col min="16" max="16" width="15" customWidth="1"/>
  </cols>
  <sheetData>
    <row r="1" spans="1:16" s="4" customFormat="1" ht="29.25" customHeight="1" x14ac:dyDescent="0.25">
      <c r="D1" s="61" t="s">
        <v>56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6" s="4" customFormat="1" ht="29.25" customHeight="1" x14ac:dyDescent="0.25">
      <c r="D2" s="62" t="s">
        <v>15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ht="22.5" customHeight="1" x14ac:dyDescent="0.25">
      <c r="A3" s="1" t="s">
        <v>0</v>
      </c>
      <c r="B3" s="1" t="s">
        <v>16</v>
      </c>
      <c r="C3" s="1" t="s">
        <v>1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1" t="s">
        <v>2</v>
      </c>
    </row>
    <row r="4" spans="1:16" ht="30" customHeight="1" x14ac:dyDescent="0.25">
      <c r="A4" s="6">
        <v>1</v>
      </c>
      <c r="B4" s="9" t="s">
        <v>49</v>
      </c>
      <c r="C4" s="7" t="s">
        <v>50</v>
      </c>
      <c r="D4" s="68">
        <v>3223</v>
      </c>
      <c r="E4" s="68">
        <v>4415</v>
      </c>
      <c r="F4" s="68">
        <v>5794</v>
      </c>
      <c r="G4" s="69">
        <v>2635</v>
      </c>
      <c r="H4" s="70">
        <v>5971</v>
      </c>
      <c r="I4" s="68">
        <v>5785</v>
      </c>
      <c r="J4" s="68">
        <v>4435</v>
      </c>
      <c r="K4" s="68">
        <v>4303</v>
      </c>
      <c r="L4" s="71">
        <v>3947</v>
      </c>
      <c r="M4" s="72">
        <v>3386</v>
      </c>
      <c r="N4" s="68">
        <v>2527</v>
      </c>
      <c r="O4" s="68">
        <v>3756</v>
      </c>
      <c r="P4" s="5">
        <f t="shared" ref="P4:P6" si="0">SUM(D4:O4)</f>
        <v>50177</v>
      </c>
    </row>
    <row r="5" spans="1:16" ht="30" customHeight="1" x14ac:dyDescent="0.25">
      <c r="A5" s="6">
        <v>2</v>
      </c>
      <c r="B5" s="9" t="s">
        <v>49</v>
      </c>
      <c r="C5" s="7" t="s">
        <v>51</v>
      </c>
      <c r="D5" s="12">
        <v>1128050</v>
      </c>
      <c r="E5" s="12">
        <v>1545250</v>
      </c>
      <c r="F5" s="19">
        <v>2027900</v>
      </c>
      <c r="G5" s="20">
        <v>922250</v>
      </c>
      <c r="H5" s="20">
        <f t="shared" ref="H5:K5" si="1">H4*350</f>
        <v>2089850</v>
      </c>
      <c r="I5" s="20">
        <f t="shared" si="1"/>
        <v>2024750</v>
      </c>
      <c r="J5" s="20">
        <f t="shared" si="1"/>
        <v>1552250</v>
      </c>
      <c r="K5" s="20">
        <f t="shared" si="1"/>
        <v>1506050</v>
      </c>
      <c r="L5" s="50">
        <v>1381450</v>
      </c>
      <c r="M5" s="59">
        <v>1185100</v>
      </c>
      <c r="N5" s="12">
        <v>884450</v>
      </c>
      <c r="O5" s="67">
        <v>1314600</v>
      </c>
      <c r="P5" s="13">
        <f t="shared" si="0"/>
        <v>17561950</v>
      </c>
    </row>
    <row r="6" spans="1:16" ht="30" customHeight="1" x14ac:dyDescent="0.25">
      <c r="A6" s="6">
        <v>3</v>
      </c>
      <c r="B6" s="9" t="s">
        <v>49</v>
      </c>
      <c r="C6" s="7" t="s">
        <v>52</v>
      </c>
      <c r="D6" s="12">
        <f t="shared" ref="D5:O6" si="2">SUM(D5:D5)</f>
        <v>1128050</v>
      </c>
      <c r="E6" s="12">
        <f t="shared" si="2"/>
        <v>1545250</v>
      </c>
      <c r="F6" s="12">
        <f t="shared" ref="F6" si="3">SUM(F5:F5)</f>
        <v>2027900</v>
      </c>
      <c r="G6" s="21">
        <v>922250</v>
      </c>
      <c r="H6" s="12">
        <f t="shared" ref="H6:K6" si="4">SUM(H5:H5)</f>
        <v>2089850</v>
      </c>
      <c r="I6" s="12">
        <f t="shared" si="4"/>
        <v>2024750</v>
      </c>
      <c r="J6" s="12">
        <f t="shared" si="4"/>
        <v>1552250</v>
      </c>
      <c r="K6" s="12">
        <f t="shared" si="4"/>
        <v>1506050</v>
      </c>
      <c r="L6" s="49">
        <v>1381450</v>
      </c>
      <c r="M6" s="58">
        <v>1185100</v>
      </c>
      <c r="N6" s="12">
        <v>884450</v>
      </c>
      <c r="O6" s="67">
        <v>1314600</v>
      </c>
      <c r="P6" s="13">
        <f t="shared" si="0"/>
        <v>17561950</v>
      </c>
    </row>
    <row r="7" spans="1:16" ht="30" customHeight="1" x14ac:dyDescent="0.25">
      <c r="A7" s="6">
        <v>4</v>
      </c>
      <c r="B7" s="9" t="s">
        <v>53</v>
      </c>
      <c r="C7" s="7" t="s">
        <v>54</v>
      </c>
      <c r="D7" s="3">
        <v>166</v>
      </c>
      <c r="E7" s="3">
        <v>162</v>
      </c>
      <c r="F7" s="3">
        <v>171</v>
      </c>
      <c r="G7" s="3">
        <v>136</v>
      </c>
      <c r="H7" s="3">
        <v>122</v>
      </c>
      <c r="I7" s="3">
        <v>127</v>
      </c>
      <c r="J7" s="3">
        <v>127</v>
      </c>
      <c r="K7" s="3">
        <v>163</v>
      </c>
      <c r="L7" s="48">
        <v>142</v>
      </c>
      <c r="M7" s="57">
        <v>172</v>
      </c>
      <c r="N7" s="3">
        <v>0</v>
      </c>
      <c r="O7" s="60">
        <v>0</v>
      </c>
      <c r="P7" s="5">
        <f>SUM(D7:O7)</f>
        <v>1488</v>
      </c>
    </row>
    <row r="8" spans="1:16" ht="30" customHeight="1" x14ac:dyDescent="0.25">
      <c r="A8" s="6">
        <v>5</v>
      </c>
      <c r="B8" s="9" t="s">
        <v>53</v>
      </c>
      <c r="C8" s="7" t="s">
        <v>55</v>
      </c>
      <c r="D8" s="3">
        <v>143</v>
      </c>
      <c r="E8" s="3">
        <v>126</v>
      </c>
      <c r="F8" s="3">
        <v>158</v>
      </c>
      <c r="G8" s="3">
        <v>103</v>
      </c>
      <c r="H8" s="3">
        <v>86</v>
      </c>
      <c r="I8" s="3">
        <v>105</v>
      </c>
      <c r="J8" s="3">
        <v>118</v>
      </c>
      <c r="K8" s="3">
        <v>141</v>
      </c>
      <c r="L8" s="48">
        <v>97</v>
      </c>
      <c r="M8" s="57">
        <v>156</v>
      </c>
      <c r="N8" s="3">
        <v>0</v>
      </c>
      <c r="O8" s="60">
        <v>0</v>
      </c>
      <c r="P8" s="5">
        <f>SUM(D8:O8)</f>
        <v>1233</v>
      </c>
    </row>
  </sheetData>
  <mergeCells count="2">
    <mergeCell ref="D1:O1"/>
    <mergeCell ref="D2:O2"/>
  </mergeCells>
  <pageMargins left="0.25" right="0.25" top="0.75" bottom="0.75" header="0.3" footer="0.3"/>
  <pageSetup scale="52" fitToHeight="0" orientation="landscape" r:id="rId1"/>
  <ignoredErrors>
    <ignoredError sqref="F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showGridLines="0" zoomScale="90" zoomScaleNormal="90" workbookViewId="0">
      <pane ySplit="3" topLeftCell="A4" activePane="bottomLeft" state="frozen"/>
      <selection pane="bottomLeft" activeCell="N17" sqref="N17"/>
    </sheetView>
  </sheetViews>
  <sheetFormatPr baseColWidth="10" defaultRowHeight="15" x14ac:dyDescent="0.25"/>
  <cols>
    <col min="1" max="1" width="5.5703125" customWidth="1"/>
    <col min="2" max="2" width="41.7109375" customWidth="1"/>
    <col min="3" max="14" width="15.42578125" bestFit="1" customWidth="1"/>
  </cols>
  <sheetData>
    <row r="1" spans="1:15" s="4" customFormat="1" ht="29.25" customHeight="1" x14ac:dyDescent="0.25">
      <c r="C1" s="61" t="s">
        <v>101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5" s="4" customFormat="1" ht="29.25" customHeight="1" x14ac:dyDescent="0.25">
      <c r="C2" s="62" t="s">
        <v>15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5" ht="22.5" customHeight="1" x14ac:dyDescent="0.25">
      <c r="A3" s="1" t="s">
        <v>0</v>
      </c>
      <c r="B3" s="1" t="s">
        <v>1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1" t="s">
        <v>2</v>
      </c>
    </row>
    <row r="4" spans="1:15" ht="65.25" customHeight="1" x14ac:dyDescent="0.25">
      <c r="A4" s="6">
        <v>1</v>
      </c>
      <c r="B4" s="7" t="s">
        <v>100</v>
      </c>
      <c r="C4" s="3">
        <v>6</v>
      </c>
      <c r="D4" s="3">
        <v>5</v>
      </c>
      <c r="E4" s="22">
        <v>17</v>
      </c>
      <c r="F4" s="3">
        <v>12</v>
      </c>
      <c r="G4" s="3">
        <v>7</v>
      </c>
      <c r="H4" s="3">
        <v>5</v>
      </c>
      <c r="I4" s="3">
        <v>5</v>
      </c>
      <c r="J4" s="3">
        <v>20</v>
      </c>
      <c r="K4" s="3">
        <v>15</v>
      </c>
      <c r="L4" s="3">
        <v>26</v>
      </c>
      <c r="M4" s="3">
        <v>9</v>
      </c>
      <c r="N4" s="3">
        <v>5</v>
      </c>
      <c r="O4" s="5">
        <f t="shared" ref="O4" si="0">SUM(C4:N4)</f>
        <v>132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showGridLines="0" zoomScale="90" zoomScaleNormal="90" workbookViewId="0">
      <pane ySplit="3" topLeftCell="A13" activePane="bottomLeft" state="frozen"/>
      <selection pane="bottomLeft" activeCell="O43" sqref="O43"/>
    </sheetView>
  </sheetViews>
  <sheetFormatPr baseColWidth="10" defaultRowHeight="15" x14ac:dyDescent="0.25"/>
  <cols>
    <col min="1" max="1" width="5.5703125" customWidth="1"/>
    <col min="2" max="2" width="17.140625" customWidth="1"/>
    <col min="3" max="3" width="34.28515625" customWidth="1"/>
    <col min="4" max="15" width="15.42578125" bestFit="1" customWidth="1"/>
  </cols>
  <sheetData>
    <row r="1" spans="1:16" s="4" customFormat="1" ht="29.25" customHeight="1" x14ac:dyDescent="0.25">
      <c r="D1" s="61" t="s">
        <v>102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6" s="4" customFormat="1" ht="29.25" customHeight="1" x14ac:dyDescent="0.25">
      <c r="D2" s="62" t="s">
        <v>15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ht="22.5" customHeight="1" x14ac:dyDescent="0.25">
      <c r="A3" s="1" t="s">
        <v>0</v>
      </c>
      <c r="B3" s="1" t="s">
        <v>16</v>
      </c>
      <c r="C3" s="1" t="s">
        <v>105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1" t="s">
        <v>2</v>
      </c>
    </row>
    <row r="4" spans="1:16" ht="30" customHeight="1" x14ac:dyDescent="0.25">
      <c r="A4" s="6">
        <v>1</v>
      </c>
      <c r="B4" s="10" t="s">
        <v>57</v>
      </c>
      <c r="C4" s="7" t="s">
        <v>58</v>
      </c>
      <c r="D4" s="16">
        <f>15</f>
        <v>15</v>
      </c>
      <c r="E4" s="16">
        <f>5+15</f>
        <v>20</v>
      </c>
      <c r="F4" s="17">
        <f>3+31</f>
        <v>34</v>
      </c>
      <c r="G4" s="16">
        <f>2+15</f>
        <v>17</v>
      </c>
      <c r="H4" s="16">
        <f>4+12</f>
        <v>16</v>
      </c>
      <c r="I4" s="16">
        <f>25+4</f>
        <v>29</v>
      </c>
      <c r="J4" s="16">
        <f>26</f>
        <v>26</v>
      </c>
      <c r="K4" s="16">
        <f>1+27</f>
        <v>28</v>
      </c>
      <c r="L4" s="44">
        <v>23</v>
      </c>
      <c r="M4" s="52">
        <v>26</v>
      </c>
      <c r="N4" s="16">
        <v>24</v>
      </c>
      <c r="O4" s="17">
        <v>7</v>
      </c>
      <c r="P4" s="5">
        <f t="shared" ref="P4:P48" si="0">SUM(D4:O4)</f>
        <v>265</v>
      </c>
    </row>
    <row r="5" spans="1:16" ht="30" customHeight="1" x14ac:dyDescent="0.25">
      <c r="A5" s="6">
        <v>2</v>
      </c>
      <c r="B5" s="10" t="s">
        <v>57</v>
      </c>
      <c r="C5" s="7" t="s">
        <v>59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44">
        <v>0</v>
      </c>
      <c r="M5" s="55">
        <v>0</v>
      </c>
      <c r="N5" s="16">
        <v>0</v>
      </c>
      <c r="O5" s="16">
        <v>0</v>
      </c>
      <c r="P5" s="5">
        <f t="shared" si="0"/>
        <v>0</v>
      </c>
    </row>
    <row r="6" spans="1:16" ht="30" customHeight="1" x14ac:dyDescent="0.25">
      <c r="A6" s="6">
        <v>3</v>
      </c>
      <c r="B6" s="10" t="s">
        <v>57</v>
      </c>
      <c r="C6" s="7" t="s">
        <v>60</v>
      </c>
      <c r="D6" s="16">
        <f>4</f>
        <v>4</v>
      </c>
      <c r="E6" s="16">
        <f>1</f>
        <v>1</v>
      </c>
      <c r="F6" s="17">
        <f>8</f>
        <v>8</v>
      </c>
      <c r="G6" s="16">
        <f>6</f>
        <v>6</v>
      </c>
      <c r="H6" s="16">
        <v>0</v>
      </c>
      <c r="I6" s="16">
        <f>2</f>
        <v>2</v>
      </c>
      <c r="J6" s="16">
        <f>1</f>
        <v>1</v>
      </c>
      <c r="K6" s="16">
        <v>43</v>
      </c>
      <c r="L6" s="45">
        <v>1</v>
      </c>
      <c r="M6" s="52">
        <v>0</v>
      </c>
      <c r="N6" s="16">
        <v>0</v>
      </c>
      <c r="O6" s="16">
        <v>0</v>
      </c>
      <c r="P6" s="5">
        <f t="shared" si="0"/>
        <v>66</v>
      </c>
    </row>
    <row r="7" spans="1:16" ht="30" customHeight="1" x14ac:dyDescent="0.25">
      <c r="A7" s="6">
        <v>4</v>
      </c>
      <c r="B7" s="10" t="s">
        <v>57</v>
      </c>
      <c r="C7" s="7" t="s">
        <v>61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44">
        <v>0</v>
      </c>
      <c r="M7" s="55">
        <v>0</v>
      </c>
      <c r="N7" s="16">
        <v>1</v>
      </c>
      <c r="O7" s="17">
        <v>1</v>
      </c>
      <c r="P7" s="5">
        <f t="shared" si="0"/>
        <v>2</v>
      </c>
    </row>
    <row r="8" spans="1:16" ht="30" customHeight="1" x14ac:dyDescent="0.25">
      <c r="A8" s="6">
        <v>5</v>
      </c>
      <c r="B8" s="10" t="s">
        <v>57</v>
      </c>
      <c r="C8" s="7" t="s">
        <v>62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44">
        <v>0</v>
      </c>
      <c r="M8" s="55">
        <v>0</v>
      </c>
      <c r="N8" s="16">
        <v>0</v>
      </c>
      <c r="O8" s="16">
        <v>0</v>
      </c>
      <c r="P8" s="5">
        <f t="shared" si="0"/>
        <v>0</v>
      </c>
    </row>
    <row r="9" spans="1:16" ht="30" customHeight="1" x14ac:dyDescent="0.25">
      <c r="A9" s="6">
        <v>6</v>
      </c>
      <c r="B9" s="10" t="s">
        <v>57</v>
      </c>
      <c r="C9" s="7" t="s">
        <v>63</v>
      </c>
      <c r="D9" s="16">
        <f>2+2+409</f>
        <v>413</v>
      </c>
      <c r="E9" s="16">
        <f>4+4+444+2</f>
        <v>454</v>
      </c>
      <c r="F9" s="17">
        <f>2+1+781+1+1</f>
        <v>786</v>
      </c>
      <c r="G9" s="16">
        <f>2+452+1</f>
        <v>455</v>
      </c>
      <c r="H9" s="16">
        <f>14+496+1</f>
        <v>511</v>
      </c>
      <c r="I9" s="16">
        <f>3+624+1+7</f>
        <v>635</v>
      </c>
      <c r="J9" s="16">
        <f>1+2+1+274</f>
        <v>278</v>
      </c>
      <c r="K9" s="16">
        <f>2+3+593+1+1</f>
        <v>600</v>
      </c>
      <c r="L9" s="44">
        <v>573</v>
      </c>
      <c r="M9" s="52">
        <v>626</v>
      </c>
      <c r="N9" s="16">
        <v>663</v>
      </c>
      <c r="O9" s="17">
        <v>318</v>
      </c>
      <c r="P9" s="5">
        <f t="shared" si="0"/>
        <v>6312</v>
      </c>
    </row>
    <row r="10" spans="1:16" ht="30" customHeight="1" x14ac:dyDescent="0.25">
      <c r="A10" s="6">
        <v>7</v>
      </c>
      <c r="B10" s="10" t="s">
        <v>57</v>
      </c>
      <c r="C10" s="7" t="s">
        <v>64</v>
      </c>
      <c r="D10" s="16">
        <v>4</v>
      </c>
      <c r="E10" s="16">
        <v>6</v>
      </c>
      <c r="F10" s="17">
        <f>3</f>
        <v>3</v>
      </c>
      <c r="G10" s="16">
        <f>4</f>
        <v>4</v>
      </c>
      <c r="H10" s="16">
        <f>5</f>
        <v>5</v>
      </c>
      <c r="I10" s="16">
        <v>2</v>
      </c>
      <c r="J10" s="16">
        <v>0</v>
      </c>
      <c r="K10" s="16">
        <v>3</v>
      </c>
      <c r="L10" s="44">
        <v>0</v>
      </c>
      <c r="M10" s="52">
        <v>0</v>
      </c>
      <c r="N10" s="16">
        <v>1</v>
      </c>
      <c r="O10" s="17">
        <v>0</v>
      </c>
      <c r="P10" s="5">
        <f t="shared" si="0"/>
        <v>28</v>
      </c>
    </row>
    <row r="11" spans="1:16" ht="30" customHeight="1" x14ac:dyDescent="0.25">
      <c r="A11" s="6">
        <v>8</v>
      </c>
      <c r="B11" s="10" t="s">
        <v>65</v>
      </c>
      <c r="C11" s="7" t="s">
        <v>58</v>
      </c>
      <c r="D11" s="16">
        <f>11+13</f>
        <v>24</v>
      </c>
      <c r="E11" s="16">
        <f>8+20</f>
        <v>28</v>
      </c>
      <c r="F11" s="17">
        <f>2+9</f>
        <v>11</v>
      </c>
      <c r="G11" s="16">
        <f>13</f>
        <v>13</v>
      </c>
      <c r="H11" s="16">
        <f>3+19</f>
        <v>22</v>
      </c>
      <c r="I11" s="16">
        <f>20</f>
        <v>20</v>
      </c>
      <c r="J11" s="16">
        <f>5+11</f>
        <v>16</v>
      </c>
      <c r="K11" s="16">
        <f>1+7</f>
        <v>8</v>
      </c>
      <c r="L11" s="44">
        <v>12</v>
      </c>
      <c r="M11" s="52">
        <v>19</v>
      </c>
      <c r="N11" s="16">
        <v>7</v>
      </c>
      <c r="O11" s="17">
        <v>9</v>
      </c>
      <c r="P11" s="5">
        <f t="shared" si="0"/>
        <v>189</v>
      </c>
    </row>
    <row r="12" spans="1:16" ht="30" customHeight="1" x14ac:dyDescent="0.25">
      <c r="A12" s="6">
        <v>9</v>
      </c>
      <c r="B12" s="10" t="s">
        <v>65</v>
      </c>
      <c r="C12" s="7" t="s">
        <v>59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44">
        <v>0</v>
      </c>
      <c r="M12" s="55">
        <v>0</v>
      </c>
      <c r="N12" s="16">
        <v>0</v>
      </c>
      <c r="O12" s="16">
        <v>0</v>
      </c>
      <c r="P12" s="5">
        <f t="shared" si="0"/>
        <v>0</v>
      </c>
    </row>
    <row r="13" spans="1:16" ht="30" customHeight="1" x14ac:dyDescent="0.25">
      <c r="A13" s="6">
        <v>10</v>
      </c>
      <c r="B13" s="10" t="s">
        <v>65</v>
      </c>
      <c r="C13" s="7" t="s">
        <v>60</v>
      </c>
      <c r="D13" s="16">
        <v>0</v>
      </c>
      <c r="E13" s="16">
        <f>2</f>
        <v>2</v>
      </c>
      <c r="F13" s="17">
        <f>1</f>
        <v>1</v>
      </c>
      <c r="G13" s="16">
        <f>1</f>
        <v>1</v>
      </c>
      <c r="H13" s="16">
        <f>1</f>
        <v>1</v>
      </c>
      <c r="I13" s="16">
        <v>0</v>
      </c>
      <c r="J13" s="16">
        <v>0</v>
      </c>
      <c r="K13" s="16">
        <v>43</v>
      </c>
      <c r="L13" s="45">
        <v>0</v>
      </c>
      <c r="M13" s="52">
        <v>0</v>
      </c>
      <c r="N13" s="16">
        <v>0</v>
      </c>
      <c r="O13" s="16">
        <v>0</v>
      </c>
      <c r="P13" s="5">
        <f t="shared" si="0"/>
        <v>48</v>
      </c>
    </row>
    <row r="14" spans="1:16" ht="30" customHeight="1" x14ac:dyDescent="0.25">
      <c r="A14" s="6">
        <v>11</v>
      </c>
      <c r="B14" s="10" t="s">
        <v>65</v>
      </c>
      <c r="C14" s="7" t="s">
        <v>61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44">
        <v>0</v>
      </c>
      <c r="M14" s="55">
        <v>0</v>
      </c>
      <c r="N14" s="16">
        <v>0</v>
      </c>
      <c r="O14" s="16">
        <v>0</v>
      </c>
      <c r="P14" s="5">
        <f t="shared" si="0"/>
        <v>0</v>
      </c>
    </row>
    <row r="15" spans="1:16" ht="30" customHeight="1" x14ac:dyDescent="0.25">
      <c r="A15" s="6">
        <v>12</v>
      </c>
      <c r="B15" s="10" t="s">
        <v>65</v>
      </c>
      <c r="C15" s="7" t="s">
        <v>62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44">
        <v>0</v>
      </c>
      <c r="M15" s="55">
        <v>0</v>
      </c>
      <c r="N15" s="16">
        <v>0</v>
      </c>
      <c r="O15" s="16">
        <v>0</v>
      </c>
      <c r="P15" s="5">
        <f t="shared" si="0"/>
        <v>0</v>
      </c>
    </row>
    <row r="16" spans="1:16" ht="30" customHeight="1" x14ac:dyDescent="0.25">
      <c r="A16" s="6">
        <v>13</v>
      </c>
      <c r="B16" s="10" t="s">
        <v>65</v>
      </c>
      <c r="C16" s="7" t="s">
        <v>63</v>
      </c>
      <c r="D16" s="16">
        <f>6+9+16</f>
        <v>31</v>
      </c>
      <c r="E16" s="16">
        <f>2+13+26</f>
        <v>41</v>
      </c>
      <c r="F16" s="17">
        <f>2+70+3</f>
        <v>75</v>
      </c>
      <c r="G16" s="16">
        <f>3+14+11</f>
        <v>28</v>
      </c>
      <c r="H16" s="16">
        <f>2+2+12</f>
        <v>16</v>
      </c>
      <c r="I16" s="16">
        <f>6+43+3+13</f>
        <v>65</v>
      </c>
      <c r="J16" s="16">
        <f>2+6+5+1</f>
        <v>14</v>
      </c>
      <c r="K16" s="16">
        <f>4+28+23+4</f>
        <v>59</v>
      </c>
      <c r="L16" s="44">
        <v>12</v>
      </c>
      <c r="M16" s="52">
        <v>12</v>
      </c>
      <c r="N16" s="16">
        <v>16</v>
      </c>
      <c r="O16" s="17">
        <v>9</v>
      </c>
      <c r="P16" s="5">
        <f t="shared" si="0"/>
        <v>378</v>
      </c>
    </row>
    <row r="17" spans="1:16" ht="30" customHeight="1" x14ac:dyDescent="0.25">
      <c r="A17" s="6">
        <v>14</v>
      </c>
      <c r="B17" s="10" t="s">
        <v>65</v>
      </c>
      <c r="C17" s="7" t="s">
        <v>64</v>
      </c>
      <c r="D17" s="16">
        <v>0</v>
      </c>
      <c r="E17" s="16">
        <v>1</v>
      </c>
      <c r="F17" s="17">
        <f>1</f>
        <v>1</v>
      </c>
      <c r="G17" s="16">
        <f>2</f>
        <v>2</v>
      </c>
      <c r="H17" s="16">
        <f>1</f>
        <v>1</v>
      </c>
      <c r="I17" s="16">
        <v>2</v>
      </c>
      <c r="J17" s="16">
        <v>0</v>
      </c>
      <c r="K17" s="16">
        <v>0</v>
      </c>
      <c r="L17" s="44">
        <v>1</v>
      </c>
      <c r="M17" s="52">
        <v>0</v>
      </c>
      <c r="N17" s="16">
        <v>0</v>
      </c>
      <c r="O17" s="17">
        <v>0</v>
      </c>
      <c r="P17" s="5">
        <f t="shared" si="0"/>
        <v>8</v>
      </c>
    </row>
    <row r="18" spans="1:16" ht="30" customHeight="1" x14ac:dyDescent="0.25">
      <c r="A18" s="6">
        <v>15</v>
      </c>
      <c r="B18" s="10" t="s">
        <v>66</v>
      </c>
      <c r="C18" s="7" t="s">
        <v>58</v>
      </c>
      <c r="D18" s="16">
        <f>2+3</f>
        <v>5</v>
      </c>
      <c r="E18" s="16">
        <f>12</f>
        <v>12</v>
      </c>
      <c r="F18" s="17">
        <f>1</f>
        <v>1</v>
      </c>
      <c r="G18" s="16">
        <f>1</f>
        <v>1</v>
      </c>
      <c r="H18" s="16">
        <f>1</f>
        <v>1</v>
      </c>
      <c r="I18" s="16">
        <f>2</f>
        <v>2</v>
      </c>
      <c r="J18" s="16">
        <f>1+2</f>
        <v>3</v>
      </c>
      <c r="K18" s="16">
        <v>2</v>
      </c>
      <c r="L18" s="44">
        <v>3</v>
      </c>
      <c r="M18" s="52">
        <v>6</v>
      </c>
      <c r="N18" s="16">
        <v>2</v>
      </c>
      <c r="O18" s="17">
        <v>5</v>
      </c>
      <c r="P18" s="5">
        <f t="shared" si="0"/>
        <v>43</v>
      </c>
    </row>
    <row r="19" spans="1:16" ht="30" customHeight="1" x14ac:dyDescent="0.25">
      <c r="A19" s="6">
        <v>16</v>
      </c>
      <c r="B19" s="10" t="s">
        <v>66</v>
      </c>
      <c r="C19" s="7" t="s">
        <v>59</v>
      </c>
      <c r="D19" s="16">
        <v>0</v>
      </c>
      <c r="E19" s="16">
        <v>0</v>
      </c>
      <c r="F19" s="17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44">
        <v>0</v>
      </c>
      <c r="M19" s="52">
        <v>0</v>
      </c>
      <c r="N19" s="16">
        <v>0</v>
      </c>
      <c r="O19" s="16">
        <v>0</v>
      </c>
      <c r="P19" s="5">
        <f t="shared" si="0"/>
        <v>0</v>
      </c>
    </row>
    <row r="20" spans="1:16" ht="30" customHeight="1" x14ac:dyDescent="0.25">
      <c r="A20" s="6">
        <v>17</v>
      </c>
      <c r="B20" s="10" t="s">
        <v>66</v>
      </c>
      <c r="C20" s="7" t="s">
        <v>60</v>
      </c>
      <c r="D20" s="16">
        <v>0</v>
      </c>
      <c r="E20" s="16">
        <f>2</f>
        <v>2</v>
      </c>
      <c r="F20" s="17">
        <f>1</f>
        <v>1</v>
      </c>
      <c r="G20" s="16">
        <f>1</f>
        <v>1</v>
      </c>
      <c r="H20" s="16">
        <f>1</f>
        <v>1</v>
      </c>
      <c r="I20" s="16">
        <v>0</v>
      </c>
      <c r="J20" s="16">
        <v>0</v>
      </c>
      <c r="K20" s="16">
        <v>43</v>
      </c>
      <c r="L20" s="45">
        <v>0</v>
      </c>
      <c r="M20" s="52">
        <v>0</v>
      </c>
      <c r="N20" s="16">
        <v>0</v>
      </c>
      <c r="O20" s="16">
        <v>0</v>
      </c>
      <c r="P20" s="5">
        <f t="shared" si="0"/>
        <v>48</v>
      </c>
    </row>
    <row r="21" spans="1:16" ht="30" customHeight="1" x14ac:dyDescent="0.25">
      <c r="A21" s="6">
        <v>18</v>
      </c>
      <c r="B21" s="10" t="s">
        <v>66</v>
      </c>
      <c r="C21" s="7" t="s">
        <v>61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44">
        <v>0</v>
      </c>
      <c r="M21" s="55">
        <v>0</v>
      </c>
      <c r="N21" s="16">
        <v>0</v>
      </c>
      <c r="O21" s="16">
        <v>0</v>
      </c>
      <c r="P21" s="5">
        <f t="shared" si="0"/>
        <v>0</v>
      </c>
    </row>
    <row r="22" spans="1:16" ht="30" customHeight="1" x14ac:dyDescent="0.25">
      <c r="A22" s="6">
        <v>19</v>
      </c>
      <c r="B22" s="10" t="s">
        <v>66</v>
      </c>
      <c r="C22" s="7" t="s">
        <v>62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44">
        <v>0</v>
      </c>
      <c r="M22" s="55">
        <v>0</v>
      </c>
      <c r="N22" s="16">
        <v>0</v>
      </c>
      <c r="O22" s="16">
        <v>0</v>
      </c>
      <c r="P22" s="5">
        <f t="shared" si="0"/>
        <v>0</v>
      </c>
    </row>
    <row r="23" spans="1:16" ht="30" customHeight="1" x14ac:dyDescent="0.25">
      <c r="A23" s="6">
        <v>20</v>
      </c>
      <c r="B23" s="10" t="s">
        <v>66</v>
      </c>
      <c r="C23" s="7" t="s">
        <v>63</v>
      </c>
      <c r="D23" s="16">
        <f>2+7+2</f>
        <v>11</v>
      </c>
      <c r="E23" s="16">
        <f>5+10</f>
        <v>15</v>
      </c>
      <c r="F23" s="17">
        <f>19+3</f>
        <v>22</v>
      </c>
      <c r="G23" s="16">
        <f>1+8+3</f>
        <v>12</v>
      </c>
      <c r="H23" s="16">
        <f>1+2+2</f>
        <v>5</v>
      </c>
      <c r="I23" s="16">
        <f>5+8+6</f>
        <v>19</v>
      </c>
      <c r="J23" s="16">
        <f>1+6+1</f>
        <v>8</v>
      </c>
      <c r="K23" s="16">
        <f>1+17+2+4</f>
        <v>24</v>
      </c>
      <c r="L23" s="44">
        <v>7</v>
      </c>
      <c r="M23" s="52">
        <v>5</v>
      </c>
      <c r="N23" s="16">
        <v>9</v>
      </c>
      <c r="O23" s="17">
        <v>2</v>
      </c>
      <c r="P23" s="5">
        <f t="shared" si="0"/>
        <v>139</v>
      </c>
    </row>
    <row r="24" spans="1:16" ht="30" customHeight="1" x14ac:dyDescent="0.25">
      <c r="A24" s="6">
        <v>21</v>
      </c>
      <c r="B24" s="10" t="s">
        <v>66</v>
      </c>
      <c r="C24" s="7" t="s">
        <v>64</v>
      </c>
      <c r="D24" s="16">
        <v>0</v>
      </c>
      <c r="E24" s="16">
        <v>1</v>
      </c>
      <c r="F24" s="17">
        <f>1</f>
        <v>1</v>
      </c>
      <c r="G24" s="16">
        <f>2</f>
        <v>2</v>
      </c>
      <c r="H24" s="16">
        <f>1</f>
        <v>1</v>
      </c>
      <c r="I24" s="16">
        <v>2</v>
      </c>
      <c r="J24" s="16">
        <v>0</v>
      </c>
      <c r="K24" s="16">
        <v>0</v>
      </c>
      <c r="L24" s="44">
        <v>1</v>
      </c>
      <c r="M24" s="52">
        <v>0</v>
      </c>
      <c r="N24" s="16">
        <v>0</v>
      </c>
      <c r="O24" s="17">
        <v>0</v>
      </c>
      <c r="P24" s="5">
        <f t="shared" si="0"/>
        <v>8</v>
      </c>
    </row>
    <row r="25" spans="1:16" ht="30" customHeight="1" x14ac:dyDescent="0.25">
      <c r="A25" s="6">
        <v>22</v>
      </c>
      <c r="B25" s="10" t="s">
        <v>67</v>
      </c>
      <c r="C25" s="7" t="s">
        <v>58</v>
      </c>
      <c r="D25" s="16">
        <f>9+10</f>
        <v>19</v>
      </c>
      <c r="E25" s="16">
        <f>8+8</f>
        <v>16</v>
      </c>
      <c r="F25" s="17">
        <f>1+9</f>
        <v>10</v>
      </c>
      <c r="G25" s="16">
        <f>12</f>
        <v>12</v>
      </c>
      <c r="H25" s="16">
        <f>3+18</f>
        <v>21</v>
      </c>
      <c r="I25" s="16">
        <f>18</f>
        <v>18</v>
      </c>
      <c r="J25" s="16">
        <f>4+9</f>
        <v>13</v>
      </c>
      <c r="K25" s="16">
        <f>1+5</f>
        <v>6</v>
      </c>
      <c r="L25" s="44">
        <v>9</v>
      </c>
      <c r="M25" s="52">
        <v>13</v>
      </c>
      <c r="N25" s="16">
        <v>5</v>
      </c>
      <c r="O25" s="17">
        <v>4</v>
      </c>
      <c r="P25" s="5">
        <f t="shared" si="0"/>
        <v>146</v>
      </c>
    </row>
    <row r="26" spans="1:16" ht="30" customHeight="1" x14ac:dyDescent="0.25">
      <c r="A26" s="6">
        <v>23</v>
      </c>
      <c r="B26" s="10" t="s">
        <v>67</v>
      </c>
      <c r="C26" s="7" t="s">
        <v>59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44">
        <v>0</v>
      </c>
      <c r="M26" s="52">
        <v>0</v>
      </c>
      <c r="N26" s="16">
        <v>0</v>
      </c>
      <c r="O26" s="16">
        <v>0</v>
      </c>
      <c r="P26" s="5">
        <f t="shared" si="0"/>
        <v>0</v>
      </c>
    </row>
    <row r="27" spans="1:16" ht="30" customHeight="1" x14ac:dyDescent="0.25">
      <c r="A27" s="6">
        <v>24</v>
      </c>
      <c r="B27" s="10" t="s">
        <v>67</v>
      </c>
      <c r="C27" s="7" t="s">
        <v>60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45">
        <v>0</v>
      </c>
      <c r="M27" s="52">
        <v>0</v>
      </c>
      <c r="N27" s="16">
        <v>0</v>
      </c>
      <c r="O27" s="16">
        <v>0</v>
      </c>
      <c r="P27" s="5">
        <f t="shared" si="0"/>
        <v>0</v>
      </c>
    </row>
    <row r="28" spans="1:16" ht="30" customHeight="1" x14ac:dyDescent="0.25">
      <c r="A28" s="6">
        <v>25</v>
      </c>
      <c r="B28" s="10" t="s">
        <v>67</v>
      </c>
      <c r="C28" s="7" t="s">
        <v>61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44">
        <v>0</v>
      </c>
      <c r="M28" s="55">
        <v>0</v>
      </c>
      <c r="N28" s="16">
        <v>0</v>
      </c>
      <c r="O28" s="16">
        <v>0</v>
      </c>
      <c r="P28" s="5">
        <f t="shared" si="0"/>
        <v>0</v>
      </c>
    </row>
    <row r="29" spans="1:16" ht="30" customHeight="1" x14ac:dyDescent="0.25">
      <c r="A29" s="6">
        <v>26</v>
      </c>
      <c r="B29" s="10" t="s">
        <v>67</v>
      </c>
      <c r="C29" s="7" t="s">
        <v>62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44">
        <v>0</v>
      </c>
      <c r="M29" s="55">
        <v>0</v>
      </c>
      <c r="N29" s="16">
        <v>0</v>
      </c>
      <c r="O29" s="16">
        <v>0</v>
      </c>
      <c r="P29" s="5">
        <f t="shared" si="0"/>
        <v>0</v>
      </c>
    </row>
    <row r="30" spans="1:16" ht="30" customHeight="1" x14ac:dyDescent="0.25">
      <c r="A30" s="6">
        <v>27</v>
      </c>
      <c r="B30" s="10" t="s">
        <v>67</v>
      </c>
      <c r="C30" s="7" t="s">
        <v>63</v>
      </c>
      <c r="D30" s="16">
        <f>4+2+14+1</f>
        <v>21</v>
      </c>
      <c r="E30" s="16">
        <f>2+8+16</f>
        <v>26</v>
      </c>
      <c r="F30" s="17">
        <f>2+51</f>
        <v>53</v>
      </c>
      <c r="G30" s="16">
        <f>2+6+8</f>
        <v>16</v>
      </c>
      <c r="H30" s="16">
        <f>1+10</f>
        <v>11</v>
      </c>
      <c r="I30" s="16">
        <f>35+3+7</f>
        <v>45</v>
      </c>
      <c r="J30" s="16">
        <f>1+5</f>
        <v>6</v>
      </c>
      <c r="K30" s="16">
        <f>3+11+21</f>
        <v>35</v>
      </c>
      <c r="L30" s="44">
        <v>5</v>
      </c>
      <c r="M30" s="52">
        <v>7</v>
      </c>
      <c r="N30" s="16">
        <v>7</v>
      </c>
      <c r="O30" s="17">
        <v>4</v>
      </c>
      <c r="P30" s="5">
        <f t="shared" si="0"/>
        <v>236</v>
      </c>
    </row>
    <row r="31" spans="1:16" ht="30" customHeight="1" x14ac:dyDescent="0.25">
      <c r="A31" s="6">
        <v>28</v>
      </c>
      <c r="B31" s="10" t="s">
        <v>67</v>
      </c>
      <c r="C31" s="7" t="s">
        <v>64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44">
        <v>0</v>
      </c>
      <c r="M31" s="55">
        <v>0</v>
      </c>
      <c r="N31" s="16">
        <v>0</v>
      </c>
      <c r="O31" s="17">
        <v>0</v>
      </c>
      <c r="P31" s="5">
        <f t="shared" si="0"/>
        <v>0</v>
      </c>
    </row>
    <row r="32" spans="1:16" ht="30" customHeight="1" x14ac:dyDescent="0.25">
      <c r="A32" s="6">
        <v>29</v>
      </c>
      <c r="B32" s="10" t="s">
        <v>68</v>
      </c>
      <c r="C32" s="7" t="s">
        <v>69</v>
      </c>
      <c r="D32" s="16">
        <f>1+96</f>
        <v>97</v>
      </c>
      <c r="E32" s="16">
        <f>1+5</f>
        <v>6</v>
      </c>
      <c r="F32" s="17">
        <f>46+2</f>
        <v>48</v>
      </c>
      <c r="G32" s="16">
        <f>34</f>
        <v>34</v>
      </c>
      <c r="H32" s="16">
        <f>2+44</f>
        <v>46</v>
      </c>
      <c r="I32" s="16">
        <f>3+87</f>
        <v>90</v>
      </c>
      <c r="J32" s="16">
        <f>22+6</f>
        <v>28</v>
      </c>
      <c r="K32" s="16">
        <f>56+10</f>
        <v>66</v>
      </c>
      <c r="L32" s="44">
        <v>26</v>
      </c>
      <c r="M32" s="52">
        <v>37</v>
      </c>
      <c r="N32" s="16">
        <v>38</v>
      </c>
      <c r="O32" s="17">
        <v>61</v>
      </c>
      <c r="P32" s="5">
        <f t="shared" si="0"/>
        <v>577</v>
      </c>
    </row>
    <row r="33" spans="1:16" ht="30" customHeight="1" x14ac:dyDescent="0.25">
      <c r="A33" s="6">
        <v>30</v>
      </c>
      <c r="B33" s="10" t="s">
        <v>68</v>
      </c>
      <c r="C33" s="7" t="s">
        <v>70</v>
      </c>
      <c r="D33" s="16">
        <f>15</f>
        <v>15</v>
      </c>
      <c r="E33" s="16">
        <f>10</f>
        <v>10</v>
      </c>
      <c r="F33" s="17">
        <f>60</f>
        <v>60</v>
      </c>
      <c r="G33" s="16">
        <v>30</v>
      </c>
      <c r="H33" s="16">
        <f>44</f>
        <v>44</v>
      </c>
      <c r="I33" s="16">
        <f>33</f>
        <v>33</v>
      </c>
      <c r="J33" s="16">
        <f>29</f>
        <v>29</v>
      </c>
      <c r="K33" s="16">
        <v>20</v>
      </c>
      <c r="L33" s="44">
        <v>4</v>
      </c>
      <c r="M33" s="52">
        <v>13</v>
      </c>
      <c r="N33" s="16">
        <v>11</v>
      </c>
      <c r="O33" s="17">
        <v>26</v>
      </c>
      <c r="P33" s="5">
        <f t="shared" si="0"/>
        <v>295</v>
      </c>
    </row>
    <row r="34" spans="1:16" ht="30" customHeight="1" x14ac:dyDescent="0.25">
      <c r="A34" s="6">
        <v>31</v>
      </c>
      <c r="B34" s="10" t="s">
        <v>68</v>
      </c>
      <c r="C34" s="7" t="s">
        <v>71</v>
      </c>
      <c r="D34" s="16">
        <f>2+11+10+83+9+9</f>
        <v>124</v>
      </c>
      <c r="E34" s="16">
        <f>7+11+13+34+49+16</f>
        <v>130</v>
      </c>
      <c r="F34" s="17">
        <f>8+11+13+34+20+35</f>
        <v>121</v>
      </c>
      <c r="G34" s="16">
        <f>3+5+9+30+18+14+1</f>
        <v>80</v>
      </c>
      <c r="H34" s="16">
        <f>2+6+14+23+143+24</f>
        <v>212</v>
      </c>
      <c r="I34" s="16">
        <f>28+21+39+12+1+8</f>
        <v>109</v>
      </c>
      <c r="J34" s="16">
        <f>3+5+39+4+3+47+1</f>
        <v>102</v>
      </c>
      <c r="K34" s="16">
        <f>6+6+12+3+78+37</f>
        <v>142</v>
      </c>
      <c r="L34" s="44">
        <v>154</v>
      </c>
      <c r="M34" s="52">
        <v>135</v>
      </c>
      <c r="N34" s="16">
        <v>155</v>
      </c>
      <c r="O34" s="17">
        <v>61</v>
      </c>
      <c r="P34" s="5">
        <f t="shared" si="0"/>
        <v>1525</v>
      </c>
    </row>
    <row r="35" spans="1:16" ht="30" customHeight="1" x14ac:dyDescent="0.25">
      <c r="A35" s="6">
        <v>32</v>
      </c>
      <c r="B35" s="10" t="s">
        <v>72</v>
      </c>
      <c r="C35" s="7" t="s">
        <v>73</v>
      </c>
      <c r="D35" s="16">
        <v>867</v>
      </c>
      <c r="E35" s="16">
        <v>920</v>
      </c>
      <c r="F35" s="16">
        <v>1186</v>
      </c>
      <c r="G35" s="16">
        <v>1028</v>
      </c>
      <c r="H35" s="16">
        <v>996</v>
      </c>
      <c r="I35" s="16">
        <v>951</v>
      </c>
      <c r="J35" s="17">
        <v>1119</v>
      </c>
      <c r="K35" s="16">
        <v>974</v>
      </c>
      <c r="L35" s="44">
        <v>888</v>
      </c>
      <c r="M35" s="52">
        <v>778</v>
      </c>
      <c r="N35" s="16" t="s">
        <v>106</v>
      </c>
      <c r="O35" s="16" t="s">
        <v>106</v>
      </c>
      <c r="P35" s="5">
        <f t="shared" si="0"/>
        <v>9707</v>
      </c>
    </row>
    <row r="36" spans="1:16" ht="30" customHeight="1" x14ac:dyDescent="0.25">
      <c r="A36" s="6">
        <v>33</v>
      </c>
      <c r="B36" s="10" t="s">
        <v>72</v>
      </c>
      <c r="C36" s="7" t="s">
        <v>74</v>
      </c>
      <c r="D36" s="16">
        <v>404</v>
      </c>
      <c r="E36" s="16">
        <v>420</v>
      </c>
      <c r="F36" s="16">
        <v>514</v>
      </c>
      <c r="G36" s="16">
        <v>428</v>
      </c>
      <c r="H36" s="16">
        <v>377</v>
      </c>
      <c r="I36" s="16">
        <v>308</v>
      </c>
      <c r="J36" s="17">
        <v>236</v>
      </c>
      <c r="K36" s="16">
        <v>222</v>
      </c>
      <c r="L36" s="44">
        <v>197</v>
      </c>
      <c r="M36" s="52">
        <v>203</v>
      </c>
      <c r="N36" s="16" t="s">
        <v>106</v>
      </c>
      <c r="O36" s="16" t="s">
        <v>106</v>
      </c>
      <c r="P36" s="5">
        <f t="shared" si="0"/>
        <v>3309</v>
      </c>
    </row>
    <row r="37" spans="1:16" ht="30" customHeight="1" x14ac:dyDescent="0.25">
      <c r="A37" s="6">
        <v>34</v>
      </c>
      <c r="B37" s="10" t="s">
        <v>72</v>
      </c>
      <c r="C37" s="7" t="s">
        <v>75</v>
      </c>
      <c r="D37" s="16" t="s">
        <v>106</v>
      </c>
      <c r="E37" s="16" t="s">
        <v>106</v>
      </c>
      <c r="F37" s="16" t="s">
        <v>106</v>
      </c>
      <c r="G37" s="16" t="s">
        <v>106</v>
      </c>
      <c r="H37" s="16" t="s">
        <v>106</v>
      </c>
      <c r="I37" s="16" t="s">
        <v>106</v>
      </c>
      <c r="J37" s="16" t="s">
        <v>106</v>
      </c>
      <c r="K37" s="16" t="s">
        <v>106</v>
      </c>
      <c r="L37" s="44" t="s">
        <v>106</v>
      </c>
      <c r="M37" s="52" t="s">
        <v>106</v>
      </c>
      <c r="N37" s="16" t="s">
        <v>106</v>
      </c>
      <c r="O37" s="16" t="s">
        <v>106</v>
      </c>
      <c r="P37" s="5">
        <f t="shared" si="0"/>
        <v>0</v>
      </c>
    </row>
    <row r="38" spans="1:16" ht="30" customHeight="1" x14ac:dyDescent="0.25">
      <c r="A38" s="6">
        <v>35</v>
      </c>
      <c r="B38" s="10" t="s">
        <v>72</v>
      </c>
      <c r="C38" s="7" t="s">
        <v>76</v>
      </c>
      <c r="D38" s="16">
        <f>SUM(D35:D37)</f>
        <v>1271</v>
      </c>
      <c r="E38" s="16">
        <f>SUM(E35:E37)</f>
        <v>1340</v>
      </c>
      <c r="F38" s="16">
        <f>SUM(F35:F37)</f>
        <v>1700</v>
      </c>
      <c r="G38" s="16">
        <f>SUM(G35:G37)</f>
        <v>1456</v>
      </c>
      <c r="H38" s="16">
        <f t="shared" ref="H38:K38" si="1">SUM(H35:H37)</f>
        <v>1373</v>
      </c>
      <c r="I38" s="16">
        <f t="shared" si="1"/>
        <v>1259</v>
      </c>
      <c r="J38" s="24">
        <f t="shared" si="1"/>
        <v>1355</v>
      </c>
      <c r="K38" s="24">
        <f t="shared" si="1"/>
        <v>1196</v>
      </c>
      <c r="L38" s="47">
        <v>1085</v>
      </c>
      <c r="M38" s="53">
        <v>981</v>
      </c>
      <c r="N38" s="16" t="s">
        <v>106</v>
      </c>
      <c r="O38" s="16" t="s">
        <v>106</v>
      </c>
      <c r="P38" s="5">
        <f t="shared" si="0"/>
        <v>13016</v>
      </c>
    </row>
    <row r="39" spans="1:16" ht="30" customHeight="1" x14ac:dyDescent="0.25">
      <c r="A39" s="6">
        <v>36</v>
      </c>
      <c r="B39" s="10" t="s">
        <v>33</v>
      </c>
      <c r="C39" s="7" t="s">
        <v>73</v>
      </c>
      <c r="D39" s="12">
        <v>90426.89</v>
      </c>
      <c r="E39" s="12">
        <v>75503.53</v>
      </c>
      <c r="F39" s="12">
        <v>102662.37</v>
      </c>
      <c r="G39" s="12">
        <v>128191.82</v>
      </c>
      <c r="H39" s="12">
        <v>79766.38</v>
      </c>
      <c r="I39" s="36">
        <v>37912.800000000003</v>
      </c>
      <c r="J39" s="12">
        <v>48687.22</v>
      </c>
      <c r="K39" s="36">
        <v>53883.199999999997</v>
      </c>
      <c r="L39" s="46">
        <v>15202.76</v>
      </c>
      <c r="M39" s="54">
        <v>20591.2</v>
      </c>
      <c r="N39" s="16" t="s">
        <v>106</v>
      </c>
      <c r="O39" s="16" t="s">
        <v>106</v>
      </c>
      <c r="P39" s="5">
        <f t="shared" si="0"/>
        <v>652828.16999999993</v>
      </c>
    </row>
    <row r="40" spans="1:16" ht="30" customHeight="1" x14ac:dyDescent="0.25">
      <c r="A40" s="6">
        <v>37</v>
      </c>
      <c r="B40" s="10" t="s">
        <v>33</v>
      </c>
      <c r="C40" s="7" t="s">
        <v>74</v>
      </c>
      <c r="D40" s="12">
        <v>53233.42</v>
      </c>
      <c r="E40" s="12">
        <v>56928.81</v>
      </c>
      <c r="F40" s="12">
        <v>56008.58</v>
      </c>
      <c r="G40" s="12">
        <v>58409.38</v>
      </c>
      <c r="H40" s="12">
        <v>26171.84</v>
      </c>
      <c r="I40" s="36">
        <v>22324.04</v>
      </c>
      <c r="J40" s="12">
        <v>29347.02</v>
      </c>
      <c r="K40" s="36">
        <v>24209.64</v>
      </c>
      <c r="L40" s="46">
        <v>10391.76</v>
      </c>
      <c r="M40" s="54">
        <v>12219.94</v>
      </c>
      <c r="N40" s="16" t="s">
        <v>106</v>
      </c>
      <c r="O40" s="16" t="s">
        <v>106</v>
      </c>
      <c r="P40" s="5">
        <f t="shared" si="0"/>
        <v>349244.43000000005</v>
      </c>
    </row>
    <row r="41" spans="1:16" ht="30" customHeight="1" x14ac:dyDescent="0.25">
      <c r="A41" s="6">
        <v>38</v>
      </c>
      <c r="B41" s="10" t="s">
        <v>33</v>
      </c>
      <c r="C41" s="7" t="s">
        <v>75</v>
      </c>
      <c r="D41" s="12" t="s">
        <v>106</v>
      </c>
      <c r="E41" s="12" t="s">
        <v>106</v>
      </c>
      <c r="F41" s="12" t="s">
        <v>106</v>
      </c>
      <c r="G41" s="12" t="s">
        <v>106</v>
      </c>
      <c r="H41" s="12" t="s">
        <v>106</v>
      </c>
      <c r="I41" s="12" t="s">
        <v>106</v>
      </c>
      <c r="J41" s="12" t="s">
        <v>106</v>
      </c>
      <c r="K41" s="12" t="s">
        <v>106</v>
      </c>
      <c r="L41" s="43" t="s">
        <v>106</v>
      </c>
      <c r="M41" s="51" t="s">
        <v>106</v>
      </c>
      <c r="N41" s="16" t="s">
        <v>106</v>
      </c>
      <c r="O41" s="16" t="s">
        <v>106</v>
      </c>
      <c r="P41" s="5">
        <f t="shared" si="0"/>
        <v>0</v>
      </c>
    </row>
    <row r="42" spans="1:16" ht="30" customHeight="1" x14ac:dyDescent="0.25">
      <c r="A42" s="6">
        <v>39</v>
      </c>
      <c r="B42" s="10" t="s">
        <v>33</v>
      </c>
      <c r="C42" s="7" t="s">
        <v>76</v>
      </c>
      <c r="D42" s="12">
        <f>SUM(D39:D41)</f>
        <v>143660.31</v>
      </c>
      <c r="E42" s="12">
        <f>SUM(E39:E41)</f>
        <v>132432.34</v>
      </c>
      <c r="F42" s="12">
        <f>SUM(F39:F41)</f>
        <v>158670.95000000001</v>
      </c>
      <c r="G42" s="12">
        <f>SUM(G39:G41)</f>
        <v>186601.2</v>
      </c>
      <c r="H42" s="12">
        <f t="shared" ref="H42:K42" si="2">SUM(H39:H41)</f>
        <v>105938.22</v>
      </c>
      <c r="I42" s="12">
        <f t="shared" si="2"/>
        <v>60236.840000000004</v>
      </c>
      <c r="J42" s="12">
        <f t="shared" si="2"/>
        <v>78034.240000000005</v>
      </c>
      <c r="K42" s="12">
        <f t="shared" si="2"/>
        <v>78092.84</v>
      </c>
      <c r="L42" s="43">
        <v>25594.52</v>
      </c>
      <c r="M42" s="51">
        <v>32811.14</v>
      </c>
      <c r="N42" s="16" t="s">
        <v>106</v>
      </c>
      <c r="O42" s="16" t="s">
        <v>106</v>
      </c>
      <c r="P42" s="5">
        <f t="shared" si="0"/>
        <v>1002072.6</v>
      </c>
    </row>
    <row r="43" spans="1:16" ht="30" customHeight="1" x14ac:dyDescent="0.25">
      <c r="A43" s="6">
        <v>40</v>
      </c>
      <c r="B43" s="63" t="s">
        <v>77</v>
      </c>
      <c r="C43" s="7" t="s">
        <v>78</v>
      </c>
      <c r="D43" s="16">
        <v>3</v>
      </c>
      <c r="E43" s="16">
        <v>0</v>
      </c>
      <c r="F43" s="18">
        <v>1</v>
      </c>
      <c r="G43" s="18">
        <v>5</v>
      </c>
      <c r="H43" s="16">
        <v>2</v>
      </c>
      <c r="I43" s="16">
        <v>0</v>
      </c>
      <c r="J43" s="16">
        <v>1</v>
      </c>
      <c r="K43" s="16">
        <v>3</v>
      </c>
      <c r="L43" s="45">
        <v>7</v>
      </c>
      <c r="M43" s="52">
        <v>4</v>
      </c>
      <c r="N43" s="17">
        <v>2</v>
      </c>
      <c r="O43" s="17">
        <v>6</v>
      </c>
      <c r="P43" s="5">
        <f t="shared" si="0"/>
        <v>34</v>
      </c>
    </row>
    <row r="44" spans="1:16" ht="30" customHeight="1" x14ac:dyDescent="0.25">
      <c r="A44" s="6">
        <v>41</v>
      </c>
      <c r="B44" s="64"/>
      <c r="C44" s="7" t="s">
        <v>79</v>
      </c>
      <c r="D44" s="16">
        <v>0</v>
      </c>
      <c r="E44" s="16">
        <v>1</v>
      </c>
      <c r="F44" s="16">
        <v>2</v>
      </c>
      <c r="G44" s="18">
        <v>0</v>
      </c>
      <c r="H44" s="16">
        <v>0</v>
      </c>
      <c r="I44" s="16">
        <v>1</v>
      </c>
      <c r="J44" s="18">
        <v>2</v>
      </c>
      <c r="K44" s="16">
        <v>1</v>
      </c>
      <c r="L44" s="44">
        <v>3</v>
      </c>
      <c r="M44" s="52">
        <v>1</v>
      </c>
      <c r="N44" s="17">
        <v>0</v>
      </c>
      <c r="O44" s="17">
        <v>3</v>
      </c>
      <c r="P44" s="5">
        <f t="shared" si="0"/>
        <v>14</v>
      </c>
    </row>
    <row r="45" spans="1:16" ht="30" customHeight="1" x14ac:dyDescent="0.25">
      <c r="A45" s="6">
        <v>42</v>
      </c>
      <c r="B45" s="10" t="s">
        <v>80</v>
      </c>
      <c r="C45" s="7" t="s">
        <v>81</v>
      </c>
      <c r="D45" s="16">
        <f>1+6+29</f>
        <v>36</v>
      </c>
      <c r="E45" s="16">
        <f>6+19</f>
        <v>25</v>
      </c>
      <c r="F45" s="16">
        <f>1+4+38</f>
        <v>43</v>
      </c>
      <c r="G45" s="16">
        <f>18+6</f>
        <v>24</v>
      </c>
      <c r="H45" s="16">
        <f>4+21</f>
        <v>25</v>
      </c>
      <c r="I45" s="16">
        <f>2+22</f>
        <v>24</v>
      </c>
      <c r="J45" s="16">
        <f>5+14</f>
        <v>19</v>
      </c>
      <c r="K45" s="16">
        <f>6+22</f>
        <v>28</v>
      </c>
      <c r="L45" s="44">
        <v>20</v>
      </c>
      <c r="M45" s="52">
        <v>43</v>
      </c>
      <c r="N45" s="17">
        <v>54</v>
      </c>
      <c r="O45" s="17">
        <v>55</v>
      </c>
      <c r="P45" s="5">
        <f t="shared" si="0"/>
        <v>396</v>
      </c>
    </row>
    <row r="46" spans="1:16" ht="30" customHeight="1" x14ac:dyDescent="0.25">
      <c r="A46" s="6">
        <v>43</v>
      </c>
      <c r="B46" s="10" t="s">
        <v>80</v>
      </c>
      <c r="C46" s="7" t="s">
        <v>82</v>
      </c>
      <c r="D46" s="16">
        <f>6+26</f>
        <v>32</v>
      </c>
      <c r="E46" s="16">
        <f>5+5</f>
        <v>10</v>
      </c>
      <c r="F46" s="16">
        <f>3+7</f>
        <v>10</v>
      </c>
      <c r="G46" s="16">
        <f>19+6</f>
        <v>25</v>
      </c>
      <c r="H46" s="16">
        <f>6+25</f>
        <v>31</v>
      </c>
      <c r="I46" s="16">
        <f>2+18</f>
        <v>20</v>
      </c>
      <c r="J46" s="16">
        <f>3+23</f>
        <v>26</v>
      </c>
      <c r="K46" s="16">
        <f>1+13</f>
        <v>14</v>
      </c>
      <c r="L46" s="44">
        <v>28</v>
      </c>
      <c r="M46" s="52">
        <v>20</v>
      </c>
      <c r="N46" s="17">
        <v>13</v>
      </c>
      <c r="O46" s="17">
        <v>20</v>
      </c>
      <c r="P46" s="5">
        <f t="shared" si="0"/>
        <v>249</v>
      </c>
    </row>
    <row r="47" spans="1:16" ht="30" customHeight="1" x14ac:dyDescent="0.25">
      <c r="A47" s="6">
        <v>44</v>
      </c>
      <c r="B47" s="10" t="s">
        <v>80</v>
      </c>
      <c r="C47" s="7" t="s">
        <v>83</v>
      </c>
      <c r="D47" s="16">
        <f>6+22</f>
        <v>28</v>
      </c>
      <c r="E47" s="16">
        <f>2+4</f>
        <v>6</v>
      </c>
      <c r="F47" s="16">
        <f>2+6</f>
        <v>8</v>
      </c>
      <c r="G47" s="16">
        <f>15+6</f>
        <v>21</v>
      </c>
      <c r="H47" s="16">
        <f>6+19</f>
        <v>25</v>
      </c>
      <c r="I47" s="16">
        <f>2+6</f>
        <v>8</v>
      </c>
      <c r="J47" s="16">
        <f>3+19</f>
        <v>22</v>
      </c>
      <c r="K47" s="16">
        <f>1+12</f>
        <v>13</v>
      </c>
      <c r="L47" s="44">
        <v>20</v>
      </c>
      <c r="M47" s="52">
        <v>11</v>
      </c>
      <c r="N47" s="17">
        <v>8</v>
      </c>
      <c r="O47" s="17">
        <v>10</v>
      </c>
      <c r="P47" s="5">
        <f t="shared" si="0"/>
        <v>180</v>
      </c>
    </row>
    <row r="48" spans="1:16" ht="30" customHeight="1" x14ac:dyDescent="0.25">
      <c r="A48" s="6">
        <v>45</v>
      </c>
      <c r="B48" s="10" t="s">
        <v>80</v>
      </c>
      <c r="C48" s="7" t="s">
        <v>84</v>
      </c>
      <c r="D48" s="16">
        <f>4</f>
        <v>4</v>
      </c>
      <c r="E48" s="16">
        <f>3+1</f>
        <v>4</v>
      </c>
      <c r="F48" s="16">
        <f>1+1</f>
        <v>2</v>
      </c>
      <c r="G48" s="16">
        <f>4</f>
        <v>4</v>
      </c>
      <c r="H48" s="16">
        <f>6</f>
        <v>6</v>
      </c>
      <c r="I48" s="16">
        <f>12</f>
        <v>12</v>
      </c>
      <c r="J48" s="16">
        <f>4</f>
        <v>4</v>
      </c>
      <c r="K48" s="16">
        <f>1</f>
        <v>1</v>
      </c>
      <c r="L48" s="44">
        <v>8</v>
      </c>
      <c r="M48" s="52">
        <v>9</v>
      </c>
      <c r="N48" s="17">
        <v>5</v>
      </c>
      <c r="O48" s="17">
        <v>10</v>
      </c>
      <c r="P48" s="5">
        <f t="shared" si="0"/>
        <v>69</v>
      </c>
    </row>
  </sheetData>
  <mergeCells count="3">
    <mergeCell ref="D1:O1"/>
    <mergeCell ref="D2:O2"/>
    <mergeCell ref="B43:B44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showGridLines="0" zoomScale="80" zoomScaleNormal="80" workbookViewId="0">
      <pane ySplit="3" topLeftCell="A4" activePane="bottomLeft" state="frozen"/>
      <selection pane="bottomLeft" activeCell="N4" sqref="N4"/>
    </sheetView>
  </sheetViews>
  <sheetFormatPr baseColWidth="10" defaultRowHeight="15" x14ac:dyDescent="0.25"/>
  <cols>
    <col min="1" max="1" width="5.5703125" customWidth="1"/>
    <col min="2" max="2" width="34.28515625" customWidth="1"/>
    <col min="3" max="14" width="15.42578125" bestFit="1" customWidth="1"/>
  </cols>
  <sheetData>
    <row r="1" spans="1:15" s="4" customFormat="1" ht="29.25" customHeight="1" x14ac:dyDescent="0.25">
      <c r="C1" s="61" t="s">
        <v>103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5" s="4" customFormat="1" ht="29.25" customHeight="1" x14ac:dyDescent="0.25">
      <c r="C2" s="62" t="s">
        <v>15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5" ht="22.5" customHeight="1" x14ac:dyDescent="0.25">
      <c r="A3" s="1" t="s">
        <v>0</v>
      </c>
      <c r="B3" s="1" t="s">
        <v>1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1" t="s">
        <v>2</v>
      </c>
    </row>
    <row r="4" spans="1:15" ht="54.75" customHeight="1" x14ac:dyDescent="0.25">
      <c r="A4" s="6">
        <v>1</v>
      </c>
      <c r="B4" s="7" t="s">
        <v>85</v>
      </c>
      <c r="C4" s="16">
        <v>2</v>
      </c>
      <c r="D4" s="16">
        <v>6</v>
      </c>
      <c r="E4" s="16">
        <v>0</v>
      </c>
      <c r="F4" s="16">
        <v>11</v>
      </c>
      <c r="G4" s="35">
        <v>9</v>
      </c>
      <c r="H4" s="35">
        <v>1</v>
      </c>
      <c r="I4" s="35">
        <v>6</v>
      </c>
      <c r="J4" s="35">
        <v>4</v>
      </c>
      <c r="K4" s="16">
        <v>10</v>
      </c>
      <c r="L4" s="56">
        <v>0</v>
      </c>
      <c r="M4" s="16">
        <v>1</v>
      </c>
      <c r="N4" s="16">
        <v>4</v>
      </c>
      <c r="O4" s="5">
        <f t="shared" ref="O4" si="0">SUM(C4:N4)</f>
        <v>54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topLeftCell="G1" zoomScale="80" zoomScaleNormal="80" workbookViewId="0">
      <pane ySplit="3" topLeftCell="A7" activePane="bottomLeft" state="frozen"/>
      <selection pane="bottomLeft" activeCell="O16" sqref="O16"/>
    </sheetView>
  </sheetViews>
  <sheetFormatPr baseColWidth="10" defaultRowHeight="15" x14ac:dyDescent="0.25"/>
  <cols>
    <col min="1" max="1" width="5.5703125" customWidth="1"/>
    <col min="2" max="2" width="16.7109375" customWidth="1"/>
    <col min="3" max="3" width="34.28515625" customWidth="1"/>
    <col min="4" max="15" width="15.42578125" bestFit="1" customWidth="1"/>
    <col min="16" max="16" width="18.42578125" customWidth="1"/>
  </cols>
  <sheetData>
    <row r="1" spans="1:16" s="4" customFormat="1" ht="29.25" customHeight="1" x14ac:dyDescent="0.25">
      <c r="D1" s="61" t="s">
        <v>43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6" s="4" customFormat="1" ht="29.25" customHeight="1" x14ac:dyDescent="0.25">
      <c r="D2" s="62" t="s">
        <v>15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ht="22.5" customHeight="1" x14ac:dyDescent="0.25">
      <c r="A3" s="1" t="s">
        <v>0</v>
      </c>
      <c r="B3" s="1" t="s">
        <v>16</v>
      </c>
      <c r="C3" s="1" t="s">
        <v>1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1" t="s">
        <v>2</v>
      </c>
    </row>
    <row r="4" spans="1:16" ht="78" customHeight="1" x14ac:dyDescent="0.25">
      <c r="A4" s="6">
        <v>1</v>
      </c>
      <c r="B4" s="8" t="s">
        <v>42</v>
      </c>
      <c r="C4" s="7" t="s">
        <v>17</v>
      </c>
      <c r="D4" s="48">
        <v>0</v>
      </c>
      <c r="E4" s="48">
        <v>0</v>
      </c>
      <c r="F4" s="48">
        <v>0</v>
      </c>
      <c r="G4" s="48">
        <v>0</v>
      </c>
      <c r="H4" s="48">
        <v>0</v>
      </c>
      <c r="I4" s="48">
        <v>0</v>
      </c>
      <c r="J4" s="37">
        <v>0</v>
      </c>
      <c r="K4" s="38">
        <v>0</v>
      </c>
      <c r="L4" s="48">
        <v>0</v>
      </c>
      <c r="M4" s="37">
        <v>0</v>
      </c>
      <c r="N4" s="48">
        <v>0</v>
      </c>
      <c r="O4" s="48">
        <v>0</v>
      </c>
      <c r="P4" s="5">
        <f>SUM(D4:O4)</f>
        <v>0</v>
      </c>
    </row>
    <row r="5" spans="1:16" ht="78" customHeight="1" x14ac:dyDescent="0.25">
      <c r="A5" s="6">
        <v>2</v>
      </c>
      <c r="B5" s="8" t="s">
        <v>42</v>
      </c>
      <c r="C5" s="7" t="s">
        <v>18</v>
      </c>
      <c r="D5" s="48">
        <v>0</v>
      </c>
      <c r="E5" s="48">
        <v>22</v>
      </c>
      <c r="F5" s="48">
        <v>20</v>
      </c>
      <c r="G5" s="48">
        <v>78</v>
      </c>
      <c r="H5" s="48">
        <v>77</v>
      </c>
      <c r="I5" s="48">
        <v>100</v>
      </c>
      <c r="J5" s="37">
        <v>10</v>
      </c>
      <c r="K5" s="38">
        <v>84</v>
      </c>
      <c r="L5" s="48">
        <v>224</v>
      </c>
      <c r="M5" s="37"/>
      <c r="N5" s="48">
        <v>438</v>
      </c>
      <c r="O5" s="48">
        <v>182</v>
      </c>
      <c r="P5" s="5">
        <f>SUM(D5:O5)</f>
        <v>1235</v>
      </c>
    </row>
    <row r="6" spans="1:16" ht="30" customHeight="1" x14ac:dyDescent="0.25">
      <c r="A6" s="6">
        <v>3</v>
      </c>
      <c r="B6" s="8" t="s">
        <v>42</v>
      </c>
      <c r="C6" s="7" t="s">
        <v>19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37">
        <v>0</v>
      </c>
      <c r="K6" s="38">
        <v>0</v>
      </c>
      <c r="L6" s="48">
        <v>0</v>
      </c>
      <c r="M6" s="37">
        <v>0</v>
      </c>
      <c r="N6" s="48">
        <v>0</v>
      </c>
      <c r="O6" s="48">
        <v>0</v>
      </c>
      <c r="P6" s="5">
        <f>SUM(D6:O6)</f>
        <v>0</v>
      </c>
    </row>
    <row r="7" spans="1:16" ht="30" customHeight="1" x14ac:dyDescent="0.25">
      <c r="A7" s="6">
        <v>4</v>
      </c>
      <c r="B7" s="8" t="s">
        <v>20</v>
      </c>
      <c r="C7" s="7" t="s">
        <v>21</v>
      </c>
      <c r="D7" s="48">
        <v>155</v>
      </c>
      <c r="E7" s="48">
        <v>140</v>
      </c>
      <c r="F7" s="48">
        <v>155</v>
      </c>
      <c r="G7" s="48">
        <v>150</v>
      </c>
      <c r="H7" s="48">
        <v>155</v>
      </c>
      <c r="I7" s="48">
        <v>150</v>
      </c>
      <c r="J7" s="37">
        <v>67</v>
      </c>
      <c r="K7" s="38">
        <v>831</v>
      </c>
      <c r="L7" s="48">
        <v>334</v>
      </c>
      <c r="M7" s="37">
        <v>339</v>
      </c>
      <c r="N7" s="48">
        <v>357</v>
      </c>
      <c r="O7" s="48">
        <v>408</v>
      </c>
      <c r="P7" s="5">
        <f>SUM(D7:O7)</f>
        <v>3241</v>
      </c>
    </row>
    <row r="8" spans="1:16" ht="30" customHeight="1" x14ac:dyDescent="0.25">
      <c r="A8" s="6">
        <v>5</v>
      </c>
      <c r="B8" s="8" t="s">
        <v>20</v>
      </c>
      <c r="C8" s="7" t="s">
        <v>22</v>
      </c>
      <c r="D8" s="48">
        <v>31</v>
      </c>
      <c r="E8" s="48">
        <v>28</v>
      </c>
      <c r="F8" s="48">
        <v>31</v>
      </c>
      <c r="G8" s="48">
        <v>30</v>
      </c>
      <c r="H8" s="48">
        <v>31</v>
      </c>
      <c r="I8" s="48">
        <v>30</v>
      </c>
      <c r="J8" s="37">
        <v>17</v>
      </c>
      <c r="K8" s="38">
        <v>84</v>
      </c>
      <c r="L8" s="48"/>
      <c r="M8" s="37">
        <v>69</v>
      </c>
      <c r="N8" s="48">
        <v>103</v>
      </c>
      <c r="O8" s="48">
        <v>58</v>
      </c>
      <c r="P8" s="5">
        <f t="shared" ref="P8:P24" si="0">SUM(D8:O8)</f>
        <v>512</v>
      </c>
    </row>
    <row r="9" spans="1:16" ht="30" customHeight="1" x14ac:dyDescent="0.25">
      <c r="A9" s="6">
        <v>6</v>
      </c>
      <c r="B9" s="8" t="s">
        <v>20</v>
      </c>
      <c r="C9" s="7" t="s">
        <v>23</v>
      </c>
      <c r="D9" s="48">
        <f>SUM(D7:D8)</f>
        <v>186</v>
      </c>
      <c r="E9" s="48">
        <f t="shared" ref="E9:I9" si="1">SUM(E7:E8)</f>
        <v>168</v>
      </c>
      <c r="F9" s="48">
        <f t="shared" si="1"/>
        <v>186</v>
      </c>
      <c r="G9" s="48">
        <f t="shared" si="1"/>
        <v>180</v>
      </c>
      <c r="H9" s="48">
        <f t="shared" si="1"/>
        <v>186</v>
      </c>
      <c r="I9" s="48">
        <f t="shared" si="1"/>
        <v>180</v>
      </c>
      <c r="J9" s="37">
        <v>84</v>
      </c>
      <c r="K9" s="38">
        <v>915</v>
      </c>
      <c r="L9" s="48">
        <v>334</v>
      </c>
      <c r="M9" s="37">
        <v>408</v>
      </c>
      <c r="N9" s="48">
        <v>460</v>
      </c>
      <c r="O9" s="48">
        <v>466</v>
      </c>
      <c r="P9" s="5">
        <f t="shared" si="0"/>
        <v>3753</v>
      </c>
    </row>
    <row r="10" spans="1:16" ht="30" customHeight="1" x14ac:dyDescent="0.25">
      <c r="A10" s="6">
        <v>7</v>
      </c>
      <c r="B10" s="8" t="s">
        <v>24</v>
      </c>
      <c r="C10" s="7" t="s">
        <v>25</v>
      </c>
      <c r="D10" s="48">
        <v>1086</v>
      </c>
      <c r="E10" s="48">
        <v>851</v>
      </c>
      <c r="F10" s="48">
        <v>567</v>
      </c>
      <c r="G10" s="48">
        <v>836</v>
      </c>
      <c r="H10" s="48">
        <v>863</v>
      </c>
      <c r="I10" s="48">
        <v>1059</v>
      </c>
      <c r="J10" s="37">
        <v>77</v>
      </c>
      <c r="K10" s="38">
        <v>98</v>
      </c>
      <c r="L10" s="48">
        <v>89</v>
      </c>
      <c r="M10" s="37">
        <v>147</v>
      </c>
      <c r="N10" s="48">
        <v>107</v>
      </c>
      <c r="O10" s="48">
        <v>64</v>
      </c>
      <c r="P10" s="5">
        <f t="shared" si="0"/>
        <v>5844</v>
      </c>
    </row>
    <row r="11" spans="1:16" ht="30" customHeight="1" x14ac:dyDescent="0.25">
      <c r="A11" s="6">
        <v>8</v>
      </c>
      <c r="B11" s="8" t="s">
        <v>24</v>
      </c>
      <c r="C11" s="7" t="s">
        <v>26</v>
      </c>
      <c r="D11" s="48">
        <v>49</v>
      </c>
      <c r="E11" s="48">
        <v>96</v>
      </c>
      <c r="F11" s="48">
        <v>123</v>
      </c>
      <c r="G11" s="48">
        <v>76</v>
      </c>
      <c r="H11" s="48">
        <v>98</v>
      </c>
      <c r="I11" s="48">
        <v>89</v>
      </c>
      <c r="J11" s="37">
        <v>44</v>
      </c>
      <c r="K11" s="38">
        <v>78</v>
      </c>
      <c r="L11" s="48">
        <v>89</v>
      </c>
      <c r="M11" s="37">
        <v>147</v>
      </c>
      <c r="N11" s="48">
        <v>107</v>
      </c>
      <c r="O11" s="48">
        <v>64</v>
      </c>
      <c r="P11" s="5">
        <f t="shared" si="0"/>
        <v>1060</v>
      </c>
    </row>
    <row r="12" spans="1:16" ht="30" customHeight="1" x14ac:dyDescent="0.25">
      <c r="A12" s="6">
        <v>9</v>
      </c>
      <c r="B12" s="8" t="s">
        <v>24</v>
      </c>
      <c r="C12" s="7" t="s">
        <v>27</v>
      </c>
      <c r="D12" s="48">
        <v>49</v>
      </c>
      <c r="E12" s="48">
        <v>96</v>
      </c>
      <c r="F12" s="48">
        <v>123</v>
      </c>
      <c r="G12" s="48">
        <v>76</v>
      </c>
      <c r="H12" s="48">
        <v>98</v>
      </c>
      <c r="I12" s="48">
        <v>89</v>
      </c>
      <c r="J12" s="37">
        <v>44</v>
      </c>
      <c r="K12" s="38">
        <v>78</v>
      </c>
      <c r="L12" s="48">
        <v>89</v>
      </c>
      <c r="M12" s="37">
        <v>147</v>
      </c>
      <c r="N12" s="48">
        <v>107</v>
      </c>
      <c r="O12" s="48">
        <v>64</v>
      </c>
      <c r="P12" s="5">
        <f t="shared" si="0"/>
        <v>1060</v>
      </c>
    </row>
    <row r="13" spans="1:16" ht="36.75" customHeight="1" x14ac:dyDescent="0.25">
      <c r="A13" s="6">
        <v>10</v>
      </c>
      <c r="B13" s="11" t="s">
        <v>28</v>
      </c>
      <c r="C13" s="7" t="s">
        <v>29</v>
      </c>
      <c r="D13" s="48">
        <v>141</v>
      </c>
      <c r="E13" s="48">
        <v>137</v>
      </c>
      <c r="F13" s="48">
        <v>190</v>
      </c>
      <c r="G13" s="48">
        <v>207</v>
      </c>
      <c r="H13" s="48">
        <v>152</v>
      </c>
      <c r="I13" s="48">
        <v>172</v>
      </c>
      <c r="J13" s="37">
        <v>0</v>
      </c>
      <c r="K13" s="38">
        <v>0</v>
      </c>
      <c r="L13" s="48">
        <v>51</v>
      </c>
      <c r="M13" s="37">
        <v>67</v>
      </c>
      <c r="N13" s="48">
        <v>12</v>
      </c>
      <c r="O13" s="48">
        <v>64</v>
      </c>
      <c r="P13" s="5">
        <f t="shared" si="0"/>
        <v>1193</v>
      </c>
    </row>
    <row r="14" spans="1:16" ht="36.75" customHeight="1" x14ac:dyDescent="0.25">
      <c r="A14" s="6">
        <v>11</v>
      </c>
      <c r="B14" s="11" t="s">
        <v>28</v>
      </c>
      <c r="C14" s="7" t="s">
        <v>30</v>
      </c>
      <c r="D14" s="48">
        <v>0</v>
      </c>
      <c r="E14" s="48">
        <v>0</v>
      </c>
      <c r="F14" s="48">
        <v>9</v>
      </c>
      <c r="G14" s="48">
        <v>0</v>
      </c>
      <c r="H14" s="48">
        <v>0</v>
      </c>
      <c r="I14" s="48">
        <v>0</v>
      </c>
      <c r="J14" s="37">
        <v>0</v>
      </c>
      <c r="K14" s="38">
        <v>0</v>
      </c>
      <c r="L14" s="48">
        <v>0</v>
      </c>
      <c r="M14" s="37">
        <v>0</v>
      </c>
      <c r="N14" s="48">
        <v>0</v>
      </c>
      <c r="O14" s="48">
        <v>0</v>
      </c>
      <c r="P14" s="5">
        <f t="shared" si="0"/>
        <v>9</v>
      </c>
    </row>
    <row r="15" spans="1:16" ht="36.75" customHeight="1" x14ac:dyDescent="0.25">
      <c r="A15" s="6">
        <v>12</v>
      </c>
      <c r="B15" s="11" t="s">
        <v>28</v>
      </c>
      <c r="C15" s="7" t="s">
        <v>31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37">
        <v>0</v>
      </c>
      <c r="K15" s="38">
        <v>0</v>
      </c>
      <c r="L15" s="48">
        <v>0</v>
      </c>
      <c r="M15" s="37">
        <v>0</v>
      </c>
      <c r="N15" s="48">
        <v>0</v>
      </c>
      <c r="O15" s="48">
        <v>0</v>
      </c>
      <c r="P15" s="5">
        <f t="shared" si="0"/>
        <v>0</v>
      </c>
    </row>
    <row r="16" spans="1:16" ht="36.75" customHeight="1" x14ac:dyDescent="0.25">
      <c r="A16" s="6">
        <v>13</v>
      </c>
      <c r="B16" s="11" t="s">
        <v>28</v>
      </c>
      <c r="C16" s="7" t="s">
        <v>32</v>
      </c>
      <c r="D16" s="48">
        <v>750</v>
      </c>
      <c r="E16" s="48">
        <v>377</v>
      </c>
      <c r="F16" s="48">
        <v>434</v>
      </c>
      <c r="G16" s="48">
        <v>340</v>
      </c>
      <c r="H16" s="48">
        <v>416</v>
      </c>
      <c r="I16" s="48">
        <v>445</v>
      </c>
      <c r="J16" s="37">
        <v>68</v>
      </c>
      <c r="K16" s="38">
        <v>278</v>
      </c>
      <c r="L16" s="48">
        <v>161</v>
      </c>
      <c r="M16" s="37">
        <v>281</v>
      </c>
      <c r="N16" s="48">
        <v>431</v>
      </c>
      <c r="O16" s="48">
        <v>523</v>
      </c>
      <c r="P16" s="5">
        <f>SUM(D16:O16)</f>
        <v>4504</v>
      </c>
    </row>
    <row r="17" spans="1:17" ht="30" customHeight="1" x14ac:dyDescent="0.25">
      <c r="A17" s="6">
        <v>14</v>
      </c>
      <c r="B17" s="8" t="s">
        <v>33</v>
      </c>
      <c r="C17" s="7" t="s">
        <v>34</v>
      </c>
      <c r="D17" s="12">
        <v>393163.04</v>
      </c>
      <c r="E17" s="12">
        <v>355881.77</v>
      </c>
      <c r="F17" s="12">
        <v>360724.2</v>
      </c>
      <c r="G17" s="12">
        <v>339656.4</v>
      </c>
      <c r="H17" s="12">
        <v>323684.08</v>
      </c>
      <c r="I17" s="12">
        <v>355658.72</v>
      </c>
      <c r="J17" s="39">
        <v>70646.100000000006</v>
      </c>
      <c r="K17" s="40">
        <v>506073.73</v>
      </c>
      <c r="L17" s="12">
        <v>338422.76</v>
      </c>
      <c r="M17" s="39">
        <v>558845.75</v>
      </c>
      <c r="N17" s="12">
        <v>431404.48</v>
      </c>
      <c r="O17" s="12">
        <v>950941.88</v>
      </c>
      <c r="P17" s="13">
        <f t="shared" si="0"/>
        <v>4985102.91</v>
      </c>
    </row>
    <row r="18" spans="1:17" ht="30" customHeight="1" x14ac:dyDescent="0.25">
      <c r="A18" s="6">
        <v>15</v>
      </c>
      <c r="B18" s="8" t="s">
        <v>33</v>
      </c>
      <c r="C18" s="7" t="s">
        <v>35</v>
      </c>
      <c r="D18" s="12">
        <v>38228.79</v>
      </c>
      <c r="E18" s="12">
        <v>25024.92</v>
      </c>
      <c r="F18" s="12">
        <v>27164.65</v>
      </c>
      <c r="G18" s="12">
        <v>21415.759999999998</v>
      </c>
      <c r="H18" s="12">
        <v>24743.13</v>
      </c>
      <c r="I18" s="12">
        <v>22346.85</v>
      </c>
      <c r="J18" s="39">
        <v>19553.52</v>
      </c>
      <c r="K18" s="40">
        <v>8729.25</v>
      </c>
      <c r="L18" s="12">
        <v>39743.019999999997</v>
      </c>
      <c r="M18" s="39">
        <v>109297.07</v>
      </c>
      <c r="N18" s="12">
        <v>20484.64</v>
      </c>
      <c r="O18" s="12">
        <v>24232.99</v>
      </c>
      <c r="P18" s="13">
        <f t="shared" si="0"/>
        <v>380964.58999999997</v>
      </c>
    </row>
    <row r="19" spans="1:17" ht="30" customHeight="1" x14ac:dyDescent="0.25">
      <c r="A19" s="6">
        <v>16</v>
      </c>
      <c r="B19" s="8" t="s">
        <v>33</v>
      </c>
      <c r="C19" s="7" t="s">
        <v>36</v>
      </c>
      <c r="D19" s="12">
        <v>24498.400000000001</v>
      </c>
      <c r="E19" s="12">
        <v>33102.15</v>
      </c>
      <c r="F19" s="12">
        <v>25404.21</v>
      </c>
      <c r="G19" s="12">
        <v>46697.56</v>
      </c>
      <c r="H19" s="12">
        <v>96671.23</v>
      </c>
      <c r="I19" s="12">
        <v>56053.82</v>
      </c>
      <c r="J19" s="39">
        <v>20528.2</v>
      </c>
      <c r="K19" s="40">
        <v>40763.97</v>
      </c>
      <c r="L19" s="12">
        <v>106539.43</v>
      </c>
      <c r="M19" s="39">
        <v>511671.01</v>
      </c>
      <c r="N19" s="12">
        <v>286012.18</v>
      </c>
      <c r="O19" s="12">
        <v>113269.52</v>
      </c>
      <c r="P19" s="13">
        <f t="shared" si="0"/>
        <v>1361211.68</v>
      </c>
    </row>
    <row r="20" spans="1:17" ht="30" customHeight="1" x14ac:dyDescent="0.25">
      <c r="A20" s="6">
        <v>17</v>
      </c>
      <c r="B20" s="8" t="s">
        <v>33</v>
      </c>
      <c r="C20" s="7" t="s">
        <v>37</v>
      </c>
      <c r="D20" s="12">
        <v>187006</v>
      </c>
      <c r="E20" s="12">
        <v>130596.28</v>
      </c>
      <c r="F20" s="12">
        <v>132943.56</v>
      </c>
      <c r="G20" s="12">
        <v>95354.22</v>
      </c>
      <c r="H20" s="12">
        <v>119675.1</v>
      </c>
      <c r="I20" s="12">
        <v>115176.54</v>
      </c>
      <c r="J20" s="39">
        <v>105745.78</v>
      </c>
      <c r="K20" s="40">
        <v>72890.759999999995</v>
      </c>
      <c r="L20" s="12">
        <v>165568.26</v>
      </c>
      <c r="M20" s="39">
        <v>323332.5</v>
      </c>
      <c r="N20" s="12">
        <v>94295.6</v>
      </c>
      <c r="O20" s="12">
        <v>124395.6</v>
      </c>
      <c r="P20" s="13">
        <f t="shared" si="0"/>
        <v>1666980.2000000002</v>
      </c>
    </row>
    <row r="21" spans="1:17" ht="30" customHeight="1" x14ac:dyDescent="0.25">
      <c r="A21" s="6">
        <v>18</v>
      </c>
      <c r="B21" s="8" t="s">
        <v>33</v>
      </c>
      <c r="C21" s="7" t="s">
        <v>38</v>
      </c>
      <c r="D21" s="12">
        <v>195328.21</v>
      </c>
      <c r="E21" s="12">
        <v>668110.96</v>
      </c>
      <c r="F21" s="12">
        <v>545341.1</v>
      </c>
      <c r="G21" s="12">
        <v>529732.4</v>
      </c>
      <c r="H21" s="12">
        <v>466421.16</v>
      </c>
      <c r="I21" s="12">
        <v>340120.8</v>
      </c>
      <c r="J21" s="39">
        <v>406173.8</v>
      </c>
      <c r="K21" s="40">
        <v>261375.8</v>
      </c>
      <c r="L21" s="12">
        <v>613243.80000000005</v>
      </c>
      <c r="M21" s="39">
        <v>408215.4</v>
      </c>
      <c r="N21" s="12">
        <v>20163.650000000001</v>
      </c>
      <c r="O21" s="12">
        <v>762943.4</v>
      </c>
      <c r="P21" s="13">
        <f t="shared" si="0"/>
        <v>5217170.4800000004</v>
      </c>
    </row>
    <row r="22" spans="1:17" ht="30" customHeight="1" x14ac:dyDescent="0.25">
      <c r="A22" s="6">
        <v>19</v>
      </c>
      <c r="B22" s="8" t="s">
        <v>33</v>
      </c>
      <c r="C22" s="7" t="s">
        <v>39</v>
      </c>
      <c r="D22" s="12">
        <v>0</v>
      </c>
      <c r="E22" s="12">
        <v>0</v>
      </c>
      <c r="F22" s="12">
        <v>1482.8</v>
      </c>
      <c r="G22" s="12">
        <v>0</v>
      </c>
      <c r="H22" s="12">
        <v>6080.65</v>
      </c>
      <c r="I22" s="12">
        <v>0</v>
      </c>
      <c r="J22" s="37" t="s">
        <v>118</v>
      </c>
      <c r="K22" s="38" t="s">
        <v>118</v>
      </c>
      <c r="L22" s="12"/>
      <c r="M22" s="37" t="s">
        <v>118</v>
      </c>
      <c r="N22" s="12">
        <v>0</v>
      </c>
      <c r="O22" s="12">
        <v>0</v>
      </c>
      <c r="P22" s="13">
        <f t="shared" si="0"/>
        <v>7563.45</v>
      </c>
    </row>
    <row r="23" spans="1:17" ht="30" customHeight="1" x14ac:dyDescent="0.25">
      <c r="A23" s="6">
        <v>20</v>
      </c>
      <c r="B23" s="8" t="s">
        <v>33</v>
      </c>
      <c r="C23" s="7" t="s">
        <v>40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37" t="s">
        <v>118</v>
      </c>
      <c r="K23" s="38" t="s">
        <v>118</v>
      </c>
      <c r="L23" s="12"/>
      <c r="M23" s="37" t="s">
        <v>118</v>
      </c>
      <c r="N23" s="12">
        <v>0</v>
      </c>
      <c r="O23" s="12">
        <v>6365</v>
      </c>
      <c r="P23" s="13">
        <f t="shared" si="0"/>
        <v>6365</v>
      </c>
    </row>
    <row r="24" spans="1:17" ht="30" customHeight="1" x14ac:dyDescent="0.25">
      <c r="A24" s="6">
        <v>22</v>
      </c>
      <c r="B24" s="8" t="s">
        <v>33</v>
      </c>
      <c r="C24" s="7" t="s">
        <v>41</v>
      </c>
      <c r="D24" s="12">
        <f t="shared" ref="D24:K24" si="2">SUM(D4:D23)</f>
        <v>840671.44</v>
      </c>
      <c r="E24" s="12">
        <f t="shared" si="2"/>
        <v>1214631.08</v>
      </c>
      <c r="F24" s="12">
        <f t="shared" si="2"/>
        <v>1094898.5200000003</v>
      </c>
      <c r="G24" s="12">
        <f t="shared" si="2"/>
        <v>1034829.3400000001</v>
      </c>
      <c r="H24" s="12">
        <f t="shared" si="2"/>
        <v>1039351.35</v>
      </c>
      <c r="I24" s="12">
        <f t="shared" si="2"/>
        <v>891670.73</v>
      </c>
      <c r="J24" s="12">
        <f t="shared" si="2"/>
        <v>623058.4</v>
      </c>
      <c r="K24" s="12">
        <f t="shared" si="2"/>
        <v>892279.51</v>
      </c>
      <c r="L24" s="12">
        <f>SUM(L4:L23)</f>
        <v>1264888.27</v>
      </c>
      <c r="M24" s="12">
        <f>SUM(M4:M23)</f>
        <v>1912966.73</v>
      </c>
      <c r="N24" s="12">
        <v>852360.55</v>
      </c>
      <c r="O24" s="12">
        <v>1982148.3900000001</v>
      </c>
      <c r="P24" s="13">
        <f t="shared" si="0"/>
        <v>13643754.310000001</v>
      </c>
    </row>
    <row r="27" spans="1:17" x14ac:dyDescent="0.25">
      <c r="C27" s="14" t="s">
        <v>44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C28" s="65" t="s">
        <v>45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1:17" x14ac:dyDescent="0.25">
      <c r="C29" s="65" t="s">
        <v>46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ht="27" customHeight="1" x14ac:dyDescent="0.25">
      <c r="C30" s="65" t="s">
        <v>47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x14ac:dyDescent="0.25">
      <c r="C31" s="65" t="s">
        <v>48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</sheetData>
  <mergeCells count="6">
    <mergeCell ref="C31:Q31"/>
    <mergeCell ref="D1:O1"/>
    <mergeCell ref="D2:O2"/>
    <mergeCell ref="C28:Q28"/>
    <mergeCell ref="C29:Q29"/>
    <mergeCell ref="C30:Q30"/>
  </mergeCells>
  <pageMargins left="0.25" right="0.25" top="0.75" bottom="0.75" header="0.3" footer="0.3"/>
  <pageSetup scale="50" fitToHeight="0" orientation="landscape" r:id="rId1"/>
  <ignoredErrors>
    <ignoredError sqref="D9:F9 G9:I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Tec</vt:lpstr>
      <vt:lpstr>TEC1</vt:lpstr>
      <vt:lpstr>TEC2</vt:lpstr>
      <vt:lpstr>CS</vt:lpstr>
      <vt:lpstr>AGR</vt:lpstr>
      <vt:lpstr>Jur</vt:lpstr>
      <vt:lpstr>IV</vt:lpstr>
      <vt:lpstr>COM</vt:lpstr>
      <vt:lpstr>AGR!Área_de_impresión</vt:lpstr>
      <vt:lpstr>COM!Área_de_impresión</vt:lpstr>
      <vt:lpstr>CS!Área_de_impresión</vt:lpstr>
      <vt:lpstr>IV!Área_de_impresión</vt:lpstr>
      <vt:lpstr>Jur!Área_de_impresión</vt:lpstr>
      <vt:lpstr>Tec!Área_de_impresión</vt:lpstr>
      <vt:lpstr>Jur!Títulos_a_imprimir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Pedro Jesús Galvan Tamez</cp:lastModifiedBy>
  <cp:lastPrinted>2022-02-21T16:13:41Z</cp:lastPrinted>
  <dcterms:created xsi:type="dcterms:W3CDTF">2022-02-17T22:47:09Z</dcterms:created>
  <dcterms:modified xsi:type="dcterms:W3CDTF">2023-01-10T19:36:23Z</dcterms:modified>
</cp:coreProperties>
</file>