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eop-eduardomat\COMPARTIDA\03. Seguimiento\01. Tablas de Indicadores\07. 2023\12. DICIEMBRE\Tablas Est\"/>
    </mc:Choice>
  </mc:AlternateContent>
  <bookViews>
    <workbookView xWindow="0" yWindow="0" windowWidth="20490" windowHeight="8220"/>
  </bookViews>
  <sheets>
    <sheet name="TEC1" sheetId="8" r:id="rId1"/>
    <sheet name="TEC2" sheetId="9" r:id="rId2"/>
    <sheet name="CS" sheetId="3" r:id="rId3"/>
    <sheet name="AGR" sheetId="7" r:id="rId4"/>
    <sheet name="Jur" sheetId="4" r:id="rId5"/>
    <sheet name="ALE" sheetId="5" r:id="rId6"/>
    <sheet name="COM" sheetId="2" r:id="rId7"/>
    <sheet name="JUC" sheetId="11" r:id="rId8"/>
  </sheets>
  <definedNames>
    <definedName name="_xlnm.Print_Area" localSheetId="3">AGR!$B$1:$O$4</definedName>
    <definedName name="_xlnm.Print_Area" localSheetId="5">ALE!$A$1:$O$4</definedName>
    <definedName name="_xlnm.Print_Area" localSheetId="6">COM!$A$1:$R$31</definedName>
    <definedName name="_xlnm.Print_Area" localSheetId="2">CS!$A$1:$P$8</definedName>
    <definedName name="_xlnm.Print_Area" localSheetId="7">JUC!$A$1:$P$11</definedName>
    <definedName name="_xlnm.Print_Area" localSheetId="4">Jur!$A$1:$P$40</definedName>
    <definedName name="_xlnm.Print_Titles" localSheetId="7">JUC!$3:$3</definedName>
    <definedName name="_xlnm.Print_Titles" localSheetId="4">Jur!$3:$3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5" l="1"/>
  <c r="X24" i="2"/>
  <c r="U11" i="11" l="1"/>
  <c r="T11" i="11"/>
  <c r="R11" i="11" l="1"/>
  <c r="S11" i="11"/>
  <c r="Q11" i="11"/>
  <c r="S24" i="2"/>
  <c r="P24" i="2"/>
  <c r="Q24" i="2"/>
  <c r="AC11" i="11" l="1"/>
  <c r="K11" i="11"/>
  <c r="J11" i="11"/>
  <c r="I11" i="11"/>
  <c r="H11" i="11"/>
  <c r="G11" i="11"/>
  <c r="F11" i="11"/>
  <c r="E11" i="11"/>
  <c r="D11" i="11"/>
  <c r="AC10" i="11"/>
  <c r="P10" i="11"/>
  <c r="AC9" i="11"/>
  <c r="P9" i="11"/>
  <c r="AC8" i="11"/>
  <c r="P8" i="11"/>
  <c r="AC7" i="11"/>
  <c r="K7" i="11"/>
  <c r="J7" i="11"/>
  <c r="I7" i="11"/>
  <c r="H7" i="11"/>
  <c r="G7" i="11"/>
  <c r="F7" i="11"/>
  <c r="E7" i="11"/>
  <c r="D7" i="11"/>
  <c r="AC6" i="11"/>
  <c r="P6" i="11"/>
  <c r="AC5" i="11"/>
  <c r="P5" i="11"/>
  <c r="AC4" i="11"/>
  <c r="P4" i="11"/>
  <c r="P11" i="11" l="1"/>
  <c r="P7" i="11"/>
  <c r="R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24" i="2" l="1"/>
  <c r="AC5" i="3"/>
  <c r="AB12" i="8"/>
  <c r="AB11" i="8"/>
  <c r="AB10" i="8"/>
  <c r="AB9" i="8"/>
  <c r="AB8" i="8"/>
  <c r="AB7" i="8"/>
  <c r="AB6" i="8"/>
  <c r="AB5" i="8"/>
  <c r="AB4" i="8"/>
  <c r="AB8" i="9"/>
  <c r="AB7" i="9"/>
  <c r="AB6" i="9"/>
  <c r="AB5" i="9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B4" i="7"/>
  <c r="AC8" i="3"/>
  <c r="AC7" i="3"/>
  <c r="AC4" i="3"/>
  <c r="AC6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4" i="2"/>
  <c r="P7" i="3"/>
  <c r="P8" i="3"/>
  <c r="O4" i="8"/>
  <c r="O5" i="8"/>
  <c r="O6" i="8"/>
  <c r="O7" i="8"/>
  <c r="O8" i="8"/>
  <c r="O9" i="8"/>
  <c r="O10" i="8"/>
  <c r="O11" i="8"/>
  <c r="O12" i="8"/>
  <c r="P48" i="8"/>
  <c r="M24" i="2"/>
  <c r="D24" i="2"/>
  <c r="E24" i="2"/>
  <c r="F24" i="2"/>
  <c r="G24" i="2"/>
  <c r="H24" i="2"/>
  <c r="I24" i="2"/>
  <c r="J24" i="2"/>
  <c r="K24" i="2"/>
  <c r="L24" i="2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4" i="4"/>
  <c r="J34" i="4"/>
  <c r="I34" i="4"/>
  <c r="H34" i="4"/>
  <c r="J33" i="4"/>
  <c r="I33" i="4"/>
  <c r="H33" i="4"/>
  <c r="K32" i="4"/>
  <c r="J32" i="4"/>
  <c r="I32" i="4"/>
  <c r="H32" i="4"/>
  <c r="K30" i="4"/>
  <c r="J30" i="4"/>
  <c r="I30" i="4"/>
  <c r="H30" i="4"/>
  <c r="K25" i="4"/>
  <c r="P25" i="4" s="1"/>
  <c r="J25" i="4"/>
  <c r="I25" i="4"/>
  <c r="H25" i="4"/>
  <c r="H24" i="4"/>
  <c r="K23" i="4"/>
  <c r="J23" i="4"/>
  <c r="I23" i="4"/>
  <c r="H23" i="4"/>
  <c r="H20" i="4"/>
  <c r="J18" i="4"/>
  <c r="I18" i="4"/>
  <c r="H18" i="4"/>
  <c r="H17" i="4"/>
  <c r="K16" i="4"/>
  <c r="J16" i="4"/>
  <c r="I16" i="4"/>
  <c r="H16" i="4"/>
  <c r="H13" i="4"/>
  <c r="K11" i="4"/>
  <c r="J11" i="4"/>
  <c r="I11" i="4"/>
  <c r="H11" i="4"/>
  <c r="H10" i="4"/>
  <c r="K9" i="4"/>
  <c r="P9" i="4" s="1"/>
  <c r="J9" i="4"/>
  <c r="I9" i="4"/>
  <c r="H9" i="4"/>
  <c r="J6" i="4"/>
  <c r="I6" i="4"/>
  <c r="K4" i="4"/>
  <c r="J4" i="4"/>
  <c r="I4" i="4"/>
  <c r="H4" i="4"/>
  <c r="O8" i="9"/>
  <c r="O7" i="9"/>
  <c r="O6" i="9"/>
  <c r="O5" i="9"/>
  <c r="K5" i="3"/>
  <c r="K6" i="3"/>
  <c r="J5" i="3"/>
  <c r="J6" i="3"/>
  <c r="I5" i="3"/>
  <c r="I6" i="3"/>
  <c r="H5" i="3"/>
  <c r="H6" i="3"/>
  <c r="I9" i="2"/>
  <c r="H9" i="2"/>
  <c r="G9" i="2"/>
  <c r="G34" i="4"/>
  <c r="G24" i="4"/>
  <c r="G17" i="4"/>
  <c r="G10" i="4"/>
  <c r="G32" i="4"/>
  <c r="G25" i="4"/>
  <c r="G18" i="4"/>
  <c r="G11" i="4"/>
  <c r="G4" i="4"/>
  <c r="G20" i="4"/>
  <c r="G13" i="4"/>
  <c r="G6" i="4"/>
  <c r="G9" i="4"/>
  <c r="G30" i="4"/>
  <c r="G23" i="4"/>
  <c r="G16" i="4"/>
  <c r="G39" i="4"/>
  <c r="G38" i="4"/>
  <c r="G37" i="4"/>
  <c r="G40" i="4"/>
  <c r="F6" i="3"/>
  <c r="F9" i="2"/>
  <c r="F24" i="4"/>
  <c r="P24" i="4" s="1"/>
  <c r="F17" i="4"/>
  <c r="P17" i="4" s="1"/>
  <c r="F10" i="4"/>
  <c r="F34" i="4"/>
  <c r="F32" i="4"/>
  <c r="F20" i="4"/>
  <c r="F23" i="4"/>
  <c r="F13" i="4"/>
  <c r="F16" i="4"/>
  <c r="F6" i="4"/>
  <c r="F9" i="4"/>
  <c r="F25" i="4"/>
  <c r="F11" i="4"/>
  <c r="F4" i="4"/>
  <c r="F33" i="4"/>
  <c r="F30" i="4"/>
  <c r="F39" i="4"/>
  <c r="F40" i="4"/>
  <c r="F38" i="4"/>
  <c r="F37" i="4"/>
  <c r="F18" i="4"/>
  <c r="E34" i="4"/>
  <c r="E25" i="4"/>
  <c r="E18" i="4"/>
  <c r="E11" i="4"/>
  <c r="E4" i="4"/>
  <c r="E33" i="4"/>
  <c r="E32" i="4"/>
  <c r="E20" i="4"/>
  <c r="P20" i="4" s="1"/>
  <c r="E13" i="4"/>
  <c r="P13" i="4" s="1"/>
  <c r="E6" i="4"/>
  <c r="E9" i="4"/>
  <c r="E30" i="4"/>
  <c r="E23" i="4"/>
  <c r="E16" i="4"/>
  <c r="E39" i="4"/>
  <c r="E40" i="4"/>
  <c r="E38" i="4"/>
  <c r="E37" i="4"/>
  <c r="D33" i="4"/>
  <c r="D32" i="4"/>
  <c r="P32" i="4" s="1"/>
  <c r="D34" i="4"/>
  <c r="D25" i="4"/>
  <c r="D18" i="4"/>
  <c r="D11" i="4"/>
  <c r="P11" i="4" s="1"/>
  <c r="D4" i="4"/>
  <c r="P4" i="4" s="1"/>
  <c r="D30" i="4"/>
  <c r="D6" i="4"/>
  <c r="D23" i="4"/>
  <c r="P23" i="4" s="1"/>
  <c r="D16" i="4"/>
  <c r="P16" i="4" s="1"/>
  <c r="D9" i="4"/>
  <c r="D39" i="4"/>
  <c r="P39" i="4" s="1"/>
  <c r="D40" i="4"/>
  <c r="P40" i="4" s="1"/>
  <c r="D38" i="4"/>
  <c r="D37" i="4"/>
  <c r="O4" i="7"/>
  <c r="O4" i="5"/>
  <c r="P5" i="4"/>
  <c r="P6" i="4"/>
  <c r="P7" i="4"/>
  <c r="P8" i="4"/>
  <c r="P10" i="4"/>
  <c r="P12" i="4"/>
  <c r="P14" i="4"/>
  <c r="P15" i="4"/>
  <c r="P18" i="4"/>
  <c r="P19" i="4"/>
  <c r="P21" i="4"/>
  <c r="P22" i="4"/>
  <c r="P26" i="4"/>
  <c r="P27" i="4"/>
  <c r="P28" i="4"/>
  <c r="P29" i="4"/>
  <c r="P30" i="4"/>
  <c r="P31" i="4"/>
  <c r="P33" i="4"/>
  <c r="P34" i="4"/>
  <c r="P35" i="4"/>
  <c r="P36" i="4"/>
  <c r="P37" i="4"/>
  <c r="P38" i="4"/>
  <c r="P5" i="3"/>
  <c r="E6" i="3"/>
  <c r="D6" i="3"/>
  <c r="E9" i="2"/>
  <c r="D9" i="2"/>
  <c r="P4" i="3"/>
  <c r="P6" i="3"/>
</calcChain>
</file>

<file path=xl/sharedStrings.xml><?xml version="1.0" encoding="utf-8"?>
<sst xmlns="http://schemas.openxmlformats.org/spreadsheetml/2006/main" count="558" uniqueCount="189">
  <si>
    <t>No.</t>
  </si>
  <si>
    <t>Nombre de 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</si>
  <si>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</si>
  <si>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</si>
  <si>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</si>
  <si>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</si>
  <si>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</si>
  <si>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</si>
  <si>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</si>
  <si>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</si>
  <si>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</si>
  <si>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</si>
  <si>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</si>
  <si>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</si>
  <si>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</si>
  <si>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</si>
  <si>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</si>
  <si>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</si>
  <si>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</si>
  <si>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</si>
  <si>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</si>
  <si>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</si>
  <si>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</si>
  <si>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</si>
  <si>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</si>
  <si>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</si>
  <si>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</si>
  <si>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</si>
  <si>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</si>
  <si>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</si>
  <si>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</si>
  <si>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</si>
  <si>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</si>
  <si>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</si>
  <si>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</si>
  <si>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</si>
  <si>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</si>
  <si>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</si>
  <si>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</si>
  <si>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</si>
  <si>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</si>
  <si>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Comercio</t>
  </si>
  <si>
    <t xml:space="preserve">Secretaría del Ayuntamiento - Dirección de Comercio 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</si>
  <si>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</si>
  <si>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</si>
  <si>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</si>
  <si>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</si>
  <si>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</si>
  <si>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Expedición de Pasaportes</t>
  </si>
  <si>
    <t>Total de tramites</t>
  </si>
  <si>
    <t>Ingreso por cuota municipal por expedición de pasaportes</t>
  </si>
  <si>
    <t>Total de ingresos Municipales</t>
  </si>
  <si>
    <t>Reclutamiento</t>
  </si>
  <si>
    <t>Informacion para la inscripción de jovenes al SMN</t>
  </si>
  <si>
    <t>Jovenes que se registraron para su servicio SMN</t>
  </si>
  <si>
    <t>Secretaría del Ayuntamiento - Dirección de Concertación Social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</si>
  <si>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</si>
  <si>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</si>
  <si>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</si>
  <si>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</si>
  <si>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</si>
  <si>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</si>
  <si>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</si>
  <si>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</si>
  <si>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</si>
  <si>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</si>
  <si>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</si>
  <si>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</si>
  <si>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</si>
  <si>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</si>
  <si>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</si>
  <si>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</si>
  <si>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</si>
  <si>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</si>
  <si>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</si>
  <si>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Total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</si>
  <si>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</si>
  <si>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</si>
  <si>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</si>
  <si>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</si>
  <si>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</si>
  <si>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</si>
  <si>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</si>
  <si>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</si>
  <si>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Anuencia Municipal para Permisos de Alcoholes</t>
  </si>
  <si>
    <t>Sesiones Ordinarias realizadas</t>
  </si>
  <si>
    <t>Sesiones Solemnes realizadas</t>
  </si>
  <si>
    <t>Solicitud y/o búsqueda de documentos, copias simples y/o certificadas</t>
  </si>
  <si>
    <t>Cantidad de asesorías y orientaciones a actores de grupos religiosos</t>
  </si>
  <si>
    <t>Secretaría del Ayuntamiento - Dirección de Atención a Grupos Religiosos</t>
  </si>
  <si>
    <t>Secretaría del Ayuntamiento - Dirección de Asuntos Jurídicos</t>
  </si>
  <si>
    <t>Secretaría del Ayuntamiento - Dirección de Verificación, Inspección y Vigilancia</t>
  </si>
  <si>
    <t>Secretaría del Ayuntamiento - Dirección de Gobierno y Asuntos Políticos</t>
  </si>
  <si>
    <t>Nombre del indicador/variable</t>
  </si>
  <si>
    <t>-</t>
  </si>
  <si>
    <t>Porcentaje de Sesiones Extraordinarias realizadas</t>
  </si>
  <si>
    <t>Porcentaje de Acuerdos aprobados del Ayuntamiento</t>
  </si>
  <si>
    <t>Realizar la publicación de Gaceta Municipal Ordinaria</t>
  </si>
  <si>
    <t>Porcentaje de publicaciones realizadas en el Periodico Oficial del Estado (POE)</t>
  </si>
  <si>
    <t>Realizar sesiones de Comisiones con miembros del Cabildo</t>
  </si>
  <si>
    <t>Porcentaje dePropuestas de Dictámenes y Puntos de Acuerdo elaborados</t>
  </si>
  <si>
    <t>Integración de Carpetas de Archivos de sesiones de Cabildo</t>
  </si>
  <si>
    <t>Secretaría del Ayuntamiento - Dirección General de Gobierno y Asuntos Interinstitucionales</t>
  </si>
  <si>
    <t>Certificaciones realizadas</t>
  </si>
  <si>
    <t>Publicaciones realizadas en el Portal del Archivo Histórico</t>
  </si>
  <si>
    <t>Digitalizaciones al Acervo Histórico</t>
  </si>
  <si>
    <t>$ -</t>
  </si>
  <si>
    <t>Estadística 2023</t>
  </si>
  <si>
    <t>Total 2022</t>
  </si>
  <si>
    <t>Total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</si>
  <si>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</si>
  <si>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</si>
  <si>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</si>
  <si>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</si>
  <si>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</si>
  <si>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</si>
  <si>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</si>
  <si>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</si>
  <si>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</si>
  <si>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</si>
  <si>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</si>
  <si>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</si>
  <si>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NA</t>
  </si>
  <si>
    <t>Secretaría del Ayuntamiento - Dirección de Justicia Civica</t>
  </si>
  <si>
    <t>$1.804.250,00</t>
  </si>
  <si>
    <t xml:space="preserve"> $ 8.080,50 </t>
  </si>
  <si>
    <t xml:space="preserve"> $ 180.715,12 </t>
  </si>
  <si>
    <t xml:space="preserve"> $ 20.540,52 </t>
  </si>
  <si>
    <t xml:space="preserve"> $ 59.650,50 </t>
  </si>
  <si>
    <t>$269.827,24</t>
  </si>
  <si>
    <t xml:space="preserve"> $ 12.162,47 </t>
  </si>
  <si>
    <t xml:space="preserve"> $ 8.238,25 </t>
  </si>
  <si>
    <t xml:space="preserve"> $ 10.782,19 </t>
  </si>
  <si>
    <t>$48.384,65</t>
  </si>
  <si>
    <t xml:space="preserve"> $ 57.868,50 </t>
  </si>
  <si>
    <t xml:space="preserve"> $ 171.410,73 </t>
  </si>
  <si>
    <t xml:space="preserve"> $ 82.024,56 </t>
  </si>
  <si>
    <t>$37.817,06</t>
  </si>
  <si>
    <t xml:space="preserve"> $ 79.645,80 </t>
  </si>
  <si>
    <t xml:space="preserve"> $ 42.455,06 </t>
  </si>
  <si>
    <t xml:space="preserve"> $ 52.406,74 </t>
  </si>
  <si>
    <t>$121.421,84</t>
  </si>
  <si>
    <t>$577.848,10</t>
  </si>
  <si>
    <t xml:space="preserve"> $ 896.580,35 </t>
  </si>
  <si>
    <t xml:space="preserve"> $ 306.373,05 </t>
  </si>
  <si>
    <t>$424.739,15</t>
  </si>
  <si>
    <t xml:space="preserve"> $            -</t>
  </si>
  <si>
    <t xml:space="preserve"> -</t>
  </si>
  <si>
    <t xml:space="preserve"> $ -   </t>
  </si>
  <si>
    <t>$6.482,00</t>
  </si>
  <si>
    <t xml:space="preserve"> $ 16.930,50 </t>
  </si>
  <si>
    <t xml:space="preserve"> $ 8.542,50 </t>
  </si>
  <si>
    <t>9.883,00</t>
  </si>
  <si>
    <t xml:space="preserve"> $ 914.721,99 </t>
  </si>
  <si>
    <t xml:space="preserve"> $ 1.156.155,41 </t>
  </si>
  <si>
    <t xml:space="preserve"> $ 519.779,54 </t>
  </si>
  <si>
    <t xml:space="preserve"> $ 912.072,94 </t>
  </si>
  <si>
    <t xml:space="preserve"> $ 3.630,00 </t>
  </si>
  <si>
    <t xml:space="preserve"> $ 21.113,12 </t>
  </si>
  <si>
    <t xml:space="preserve"> $ 17.117,10 </t>
  </si>
  <si>
    <t xml:space="preserve"> $ 173.453,28 </t>
  </si>
  <si>
    <t xml:space="preserve"> $ 30.328,02 </t>
  </si>
  <si>
    <t xml:space="preserve"> $ 146.650,64 </t>
  </si>
  <si>
    <t xml:space="preserve"> $ 130.605,51 </t>
  </si>
  <si>
    <t xml:space="preserve"> $ 142.800,90 </t>
  </si>
  <si>
    <t xml:space="preserve"> $ 7.731,00 </t>
  </si>
  <si>
    <t xml:space="preserve"> $ 631.569,35 </t>
  </si>
  <si>
    <t>$2.282,28</t>
  </si>
  <si>
    <t>$4.893,72</t>
  </si>
  <si>
    <t>$884.912,54</t>
  </si>
  <si>
    <t>$21.132,00</t>
  </si>
  <si>
    <t>$507.372,35</t>
  </si>
  <si>
    <t>14.366,00</t>
  </si>
  <si>
    <t xml:space="preserve"> $ 1.434.958,89 </t>
  </si>
  <si>
    <t xml:space="preserve"> $ 19.191,90 </t>
  </si>
  <si>
    <t xml:space="preserve"> $ 11.411,40 </t>
  </si>
  <si>
    <t xml:space="preserve"> $ 292.928,76 </t>
  </si>
  <si>
    <t xml:space="preserve"> $ 17.441,72 </t>
  </si>
  <si>
    <t xml:space="preserve"> $ 229.311,01 </t>
  </si>
  <si>
    <t xml:space="preserve"> $ 64.790,58 </t>
  </si>
  <si>
    <t xml:space="preserve"> $ 757.558,40 </t>
  </si>
  <si>
    <t xml:space="preserve"> $ 13.125,00 </t>
  </si>
  <si>
    <t xml:space="preserve"> $ 1.375.155,47 </t>
  </si>
  <si>
    <t xml:space="preserve"> $ 21.266,00 </t>
  </si>
  <si>
    <t xml:space="preserve"> $ 328.271,47 </t>
  </si>
  <si>
    <t xml:space="preserve"> $ 337.098,85 </t>
  </si>
  <si>
    <t xml:space="preserve"> $ 10.821,00 </t>
  </si>
  <si>
    <t xml:space="preserve"> $ 697.457,32 </t>
  </si>
  <si>
    <t xml:space="preserve"> $ 22.926,54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</si>
</sst>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</font>
    <font>
      <sz val="11"/>
      <color theme="0"/>
      <name val="Calibri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5" applyNumberFormat="1" applyFont="1" applyBorder="1" applyAlignment="1">
      <alignment horizontal="center" vertical="center"/>
    </xf>
    <xf numFmtId="164" fontId="0" fillId="0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" fontId="0" fillId="0" borderId="0" xfId="0" applyNumberFormat="1"/>
    <xf numFmtId="164" fontId="0" fillId="0" borderId="1" xfId="10" applyNumberFormat="1" applyFont="1" applyBorder="1" applyAlignment="1">
      <alignment horizontal="center" vertical="center"/>
    </xf>
    <xf numFmtId="164" fontId="0" fillId="0" borderId="1" xfId="10" applyNumberFormat="1" applyFont="1" applyBorder="1" applyAlignment="1">
      <alignment horizontal="center" vertical="center"/>
    </xf>
    <xf numFmtId="164" fontId="0" fillId="0" borderId="1" xfId="1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0" applyFont="1" applyBorder="1" applyAlignment="1">
      <alignment horizontal="center" vertical="center"/>
    </xf>
    <xf numFmtId="44" fontId="12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  <xf numFmtId="49" fontId="15" fillId="7" borderId="0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164" fontId="17" fillId="0" borderId="1" xfId="5" applyNumberFormat="1" applyFont="1" applyFill="1" applyBorder="1" applyAlignment="1">
      <alignment horizontal="center" vertical="center"/>
    </xf>
    <xf numFmtId="164" fontId="17" fillId="0" borderId="1" xfId="10" applyNumberFormat="1" applyFont="1" applyFill="1" applyBorder="1" applyAlignment="1">
      <alignment horizontal="center" vertical="center"/>
    </xf>
    <xf numFmtId="0" fontId="17" fillId="0" borderId="0" xfId="0" applyFont="1" applyFill="1"/>
    <xf numFmtId="3" fontId="17" fillId="0" borderId="1" xfId="1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3" fontId="17" fillId="0" borderId="1" xfId="10" applyNumberFormat="1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center" vertical="center"/>
    </xf>
    <xf numFmtId="7" fontId="17" fillId="0" borderId="1" xfId="1" applyNumberFormat="1" applyFont="1" applyFill="1" applyBorder="1" applyAlignment="1">
      <alignment horizontal="center" vertical="center"/>
    </xf>
    <xf numFmtId="7" fontId="17" fillId="0" borderId="1" xfId="5" applyNumberFormat="1" applyFont="1" applyFill="1" applyBorder="1" applyAlignment="1">
      <alignment horizontal="center" vertical="center"/>
    </xf>
    <xf numFmtId="7" fontId="17" fillId="0" borderId="1" xfId="10" applyNumberFormat="1" applyFont="1" applyFill="1" applyBorder="1" applyAlignment="1">
      <alignment horizontal="center" vertical="center"/>
    </xf>
    <xf numFmtId="44" fontId="17" fillId="0" borderId="1" xfId="5" applyFont="1" applyFill="1" applyBorder="1" applyAlignment="1">
      <alignment horizontal="center" vertical="center"/>
    </xf>
    <xf numFmtId="44" fontId="17" fillId="0" borderId="1" xfId="10" applyFont="1" applyFill="1" applyBorder="1" applyAlignment="1">
      <alignment horizontal="center" vertical="center"/>
    </xf>
    <xf numFmtId="164" fontId="17" fillId="0" borderId="7" xfId="1" applyNumberFormat="1" applyFont="1" applyFill="1" applyBorder="1" applyAlignment="1">
      <alignment horizontal="center" vertical="center"/>
    </xf>
    <xf numFmtId="44" fontId="17" fillId="0" borderId="7" xfId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1" applyNumberFormat="1" applyFont="1" applyBorder="1" applyAlignment="1">
      <alignment horizontal="right" vertical="center"/>
    </xf>
    <xf numFmtId="44" fontId="0" fillId="0" borderId="1" xfId="1" applyFon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0" fontId="0" fillId="0" borderId="0" xfId="0"/>
    <xf numFmtId="44" fontId="12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24" applyNumberFormat="1" applyFont="1" applyBorder="1" applyAlignment="1">
      <alignment horizontal="center" vertical="center"/>
    </xf>
    <xf numFmtId="8" fontId="19" fillId="0" borderId="1" xfId="6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0" borderId="0" xfId="0" applyFont="1" applyBorder="1"/>
  </cellXfs>
  <cellStyles count="35">
    <cellStyle name="Euro" xfId="26"/>
    <cellStyle name="Millares 2" xfId="27"/>
    <cellStyle name="Millares 2 2" xfId="29"/>
    <cellStyle name="Millares 2 2 2" xfId="34"/>
    <cellStyle name="Millares 2 3" xfId="33"/>
    <cellStyle name="Moneda" xfId="1" builtinId="4"/>
    <cellStyle name="Moneda 2" xfId="3"/>
    <cellStyle name="Moneda 2 2" xfId="5"/>
    <cellStyle name="Moneda 2 2 2" xfId="10"/>
    <cellStyle name="Moneda 2 2 2 2" xfId="20"/>
    <cellStyle name="Moneda 2 2 2 3" xfId="24"/>
    <cellStyle name="Moneda 2 2 2 4" xfId="32"/>
    <cellStyle name="Moneda 2 2 3" xfId="15"/>
    <cellStyle name="Moneda 2 3" xfId="8"/>
    <cellStyle name="Moneda 2 3 2" xfId="18"/>
    <cellStyle name="Moneda 2 4" xfId="13"/>
    <cellStyle name="Moneda 3" xfId="4"/>
    <cellStyle name="Moneda 3 2" xfId="9"/>
    <cellStyle name="Moneda 3 2 2" xfId="19"/>
    <cellStyle name="Moneda 3 3" xfId="14"/>
    <cellStyle name="Moneda 4" xfId="6"/>
    <cellStyle name="Moneda 4 2" xfId="11"/>
    <cellStyle name="Moneda 4 2 2" xfId="21"/>
    <cellStyle name="Moneda 4 3" xfId="16"/>
    <cellStyle name="Moneda 4 4" xfId="23"/>
    <cellStyle name="Moneda 4 5" xfId="31"/>
    <cellStyle name="Moneda 5" xfId="7"/>
    <cellStyle name="Moneda 5 2" xfId="17"/>
    <cellStyle name="Moneda 6" xfId="12"/>
    <cellStyle name="Moneda 7" xfId="22"/>
    <cellStyle name="Moneda 8" xfId="30"/>
    <cellStyle name="Normal" xfId="0" builtinId="0"/>
    <cellStyle name="Normal 2" xfId="28"/>
    <cellStyle name="Normal 3" xfId="2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1143625</xdr:colOff>
      <xdr:row>1</xdr:row>
      <xdr:rowOff>342900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0"/>
          <a:ext cx="149605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981700</xdr:colOff>
      <xdr:row>2</xdr:row>
      <xdr:rowOff>228600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85725" y="0"/>
          <a:ext cx="14960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48250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66675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704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69056</xdr:rowOff>
    </xdr:from>
    <xdr:to>
      <xdr:col>2</xdr:col>
      <xdr:colOff>31581</xdr:colOff>
      <xdr:row>1</xdr:row>
      <xdr:rowOff>335756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3812" y="69056"/>
          <a:ext cx="1496050" cy="635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tabSelected="1" workbookViewId="0">
      <selection activeCell="P3" sqref="P3"/>
    </sheetView>
  </sheetViews>
  <sheetFormatPr baseColWidth="10" defaultRowHeight="15" x14ac:dyDescent="0.25"/>
  <cols>
    <col min="1" max="1" width="5.28515625" customWidth="1"/>
    <col min="2" max="2" width="32.5703125" customWidth="1"/>
    <col min="3" max="14" width="0" hidden="1" customWidth="1"/>
    <col min="24" max="24" width="15.85546875" bestFit="1" customWidth="1"/>
    <col min="25" max="27" width="15.42578125" customWidth="1"/>
  </cols>
  <sheetData>
    <row r="1" spans="1:28" ht="33" customHeight="1" x14ac:dyDescent="0.25">
      <c r="A1" s="23"/>
      <c r="B1" s="23"/>
      <c r="C1" s="99" t="s">
        <v>92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3"/>
      <c r="P1" s="99" t="s">
        <v>92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23"/>
    </row>
    <row r="2" spans="1:28" ht="32.25" customHeight="1" x14ac:dyDescent="0.25">
      <c r="A2" s="23"/>
      <c r="B2" s="23"/>
      <c r="C2" s="100" t="s"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3"/>
      <c r="P2" s="100" t="s">
        <v>107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23"/>
    </row>
    <row r="3" spans="1:28" ht="27.75" customHeight="1" x14ac:dyDescent="0.25">
      <c r="A3" s="20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0" t="s">
        <v>108</v>
      </c>
      <c r="P3" s="51" t="s">
        <v>110</v>
      </c>
      <c r="Q3" s="51" t="s">
        <v>111</v>
      </c>
      <c r="R3" s="51" t="s">
        <v>112</v>
      </c>
      <c r="S3" s="51" t="s">
        <v>113</v>
      </c>
      <c r="T3" s="51" t="s">
        <v>114</v>
      </c>
      <c r="U3" s="51" t="s">
        <v>115</v>
      </c>
      <c r="V3" s="51" t="s">
        <v>116</v>
      </c>
      <c r="W3" s="51" t="s">
        <v>117</v>
      </c>
      <c r="X3" s="51" t="s">
        <v>118</v>
      </c>
      <c r="Y3" s="51" t="s">
        <v>119</v>
      </c>
      <c r="Z3" s="51" t="s">
        <v>120</v>
      </c>
      <c r="AA3" s="51" t="s">
        <v>121</v>
      </c>
      <c r="AB3" s="52" t="s">
        <v>109</v>
      </c>
    </row>
    <row r="4" spans="1:28" x14ac:dyDescent="0.25">
      <c r="A4" s="24">
        <v>1</v>
      </c>
      <c r="B4" s="25" t="s">
        <v>85</v>
      </c>
      <c r="C4" s="22">
        <v>2</v>
      </c>
      <c r="D4" s="22">
        <v>2</v>
      </c>
      <c r="E4" s="22">
        <v>2</v>
      </c>
      <c r="F4" s="22">
        <v>2</v>
      </c>
      <c r="G4" s="22">
        <v>2</v>
      </c>
      <c r="H4" s="22">
        <v>2</v>
      </c>
      <c r="I4" s="22">
        <v>2</v>
      </c>
      <c r="J4" s="22">
        <v>2</v>
      </c>
      <c r="K4" s="32">
        <v>2</v>
      </c>
      <c r="L4" s="44">
        <v>2</v>
      </c>
      <c r="M4" s="44">
        <v>2</v>
      </c>
      <c r="N4" s="44">
        <v>2</v>
      </c>
      <c r="O4" s="53">
        <f t="shared" ref="O4:O11" si="0">SUM(C4:N4)</f>
        <v>24</v>
      </c>
      <c r="P4" s="44">
        <v>2</v>
      </c>
      <c r="Q4" s="44">
        <v>2</v>
      </c>
      <c r="R4" s="44">
        <v>2</v>
      </c>
      <c r="S4" s="44">
        <v>2</v>
      </c>
      <c r="T4" s="44">
        <v>2</v>
      </c>
      <c r="U4" s="86">
        <v>2</v>
      </c>
      <c r="V4" s="86">
        <v>2</v>
      </c>
      <c r="W4" s="86">
        <v>2</v>
      </c>
      <c r="X4" s="86">
        <v>2</v>
      </c>
      <c r="Y4" s="86">
        <v>2</v>
      </c>
      <c r="Z4" s="98">
        <v>2</v>
      </c>
      <c r="AA4" s="98">
        <v>2</v>
      </c>
      <c r="AB4" s="53">
        <f t="shared" ref="AB4:AB11" si="1">SUM(P4:AA4)</f>
        <v>24</v>
      </c>
    </row>
    <row r="5" spans="1:28" ht="30" x14ac:dyDescent="0.25">
      <c r="A5" s="24">
        <v>2</v>
      </c>
      <c r="B5" s="25" t="s">
        <v>95</v>
      </c>
      <c r="C5" s="22">
        <v>0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22">
        <v>1</v>
      </c>
      <c r="J5" s="22">
        <v>0</v>
      </c>
      <c r="K5" s="32">
        <v>1</v>
      </c>
      <c r="L5" s="44">
        <v>0</v>
      </c>
      <c r="M5" s="44">
        <v>0</v>
      </c>
      <c r="N5" s="44">
        <v>0</v>
      </c>
      <c r="O5" s="53">
        <f t="shared" si="0"/>
        <v>3</v>
      </c>
      <c r="P5" s="44">
        <v>1</v>
      </c>
      <c r="Q5" s="44">
        <v>0</v>
      </c>
      <c r="R5" s="44">
        <v>1</v>
      </c>
      <c r="S5" s="44">
        <v>0</v>
      </c>
      <c r="T5" s="44">
        <v>0</v>
      </c>
      <c r="U5" s="86">
        <v>1</v>
      </c>
      <c r="V5" s="86">
        <v>0</v>
      </c>
      <c r="W5" s="86">
        <v>0</v>
      </c>
      <c r="X5" s="86">
        <v>0</v>
      </c>
      <c r="Y5" s="86">
        <v>1</v>
      </c>
      <c r="Z5" s="98">
        <v>0</v>
      </c>
      <c r="AA5" s="98">
        <v>0</v>
      </c>
      <c r="AB5" s="53">
        <f t="shared" si="1"/>
        <v>4</v>
      </c>
    </row>
    <row r="6" spans="1:28" x14ac:dyDescent="0.25">
      <c r="A6" s="24">
        <v>3</v>
      </c>
      <c r="B6" s="25" t="s">
        <v>86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1</v>
      </c>
      <c r="J6" s="22">
        <v>0</v>
      </c>
      <c r="K6" s="32">
        <v>3</v>
      </c>
      <c r="L6" s="44">
        <v>1</v>
      </c>
      <c r="M6" s="44">
        <v>0</v>
      </c>
      <c r="N6" s="44">
        <v>1</v>
      </c>
      <c r="O6" s="53">
        <f t="shared" si="0"/>
        <v>6</v>
      </c>
      <c r="P6" s="44">
        <v>1</v>
      </c>
      <c r="Q6" s="44">
        <v>0</v>
      </c>
      <c r="R6" s="44">
        <v>1</v>
      </c>
      <c r="S6" s="44">
        <v>0</v>
      </c>
      <c r="T6" s="44">
        <v>1</v>
      </c>
      <c r="U6" s="86">
        <v>1</v>
      </c>
      <c r="V6" s="86">
        <v>1</v>
      </c>
      <c r="W6" s="86">
        <v>0</v>
      </c>
      <c r="X6" s="86">
        <v>2</v>
      </c>
      <c r="Y6" s="86">
        <v>1</v>
      </c>
      <c r="Z6" s="98">
        <v>1</v>
      </c>
      <c r="AA6" s="98">
        <v>1</v>
      </c>
      <c r="AB6" s="53">
        <f t="shared" si="1"/>
        <v>10</v>
      </c>
    </row>
    <row r="7" spans="1:28" ht="30" x14ac:dyDescent="0.25">
      <c r="A7" s="24">
        <v>4</v>
      </c>
      <c r="B7" s="25" t="s">
        <v>96</v>
      </c>
      <c r="C7" s="22">
        <v>14</v>
      </c>
      <c r="D7" s="22">
        <v>20</v>
      </c>
      <c r="E7" s="22">
        <v>16</v>
      </c>
      <c r="F7" s="22">
        <v>18</v>
      </c>
      <c r="G7" s="22">
        <v>23</v>
      </c>
      <c r="H7" s="22">
        <v>28</v>
      </c>
      <c r="I7" s="26">
        <v>30</v>
      </c>
      <c r="J7" s="22">
        <v>30</v>
      </c>
      <c r="K7" s="32">
        <v>26</v>
      </c>
      <c r="L7" s="44">
        <v>28</v>
      </c>
      <c r="M7" s="44">
        <v>31</v>
      </c>
      <c r="N7" s="44">
        <v>27</v>
      </c>
      <c r="O7" s="53">
        <f t="shared" si="0"/>
        <v>291</v>
      </c>
      <c r="P7" s="44">
        <v>25</v>
      </c>
      <c r="Q7" s="44">
        <v>16</v>
      </c>
      <c r="R7" s="44">
        <v>33</v>
      </c>
      <c r="S7" s="44">
        <v>13</v>
      </c>
      <c r="T7" s="44">
        <v>44</v>
      </c>
      <c r="U7" s="86">
        <v>43</v>
      </c>
      <c r="V7" s="26">
        <v>29</v>
      </c>
      <c r="W7" s="86">
        <v>26</v>
      </c>
      <c r="X7" s="86">
        <v>20</v>
      </c>
      <c r="Y7" s="86">
        <v>40</v>
      </c>
      <c r="Z7" s="98">
        <v>34</v>
      </c>
      <c r="AA7" s="98">
        <v>41</v>
      </c>
      <c r="AB7" s="53">
        <f t="shared" si="1"/>
        <v>364</v>
      </c>
    </row>
    <row r="8" spans="1:28" ht="30" x14ac:dyDescent="0.25">
      <c r="A8" s="24">
        <v>5</v>
      </c>
      <c r="B8" s="25" t="s">
        <v>97</v>
      </c>
      <c r="C8" s="22">
        <v>25</v>
      </c>
      <c r="D8" s="22">
        <v>22</v>
      </c>
      <c r="E8" s="22"/>
      <c r="F8" s="22"/>
      <c r="G8" s="22"/>
      <c r="H8" s="22"/>
      <c r="I8" s="22">
        <v>1</v>
      </c>
      <c r="J8" s="22">
        <v>1</v>
      </c>
      <c r="K8" s="32">
        <v>1</v>
      </c>
      <c r="L8" s="44">
        <v>1</v>
      </c>
      <c r="M8" s="44">
        <v>1</v>
      </c>
      <c r="N8" s="44">
        <v>1</v>
      </c>
      <c r="O8" s="53">
        <f t="shared" si="0"/>
        <v>53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86">
        <v>1</v>
      </c>
      <c r="V8" s="86">
        <v>1</v>
      </c>
      <c r="W8" s="86">
        <v>1</v>
      </c>
      <c r="X8" s="86">
        <v>1</v>
      </c>
      <c r="Y8" s="86">
        <v>1</v>
      </c>
      <c r="Z8" s="98">
        <v>1</v>
      </c>
      <c r="AA8" s="98">
        <v>1</v>
      </c>
      <c r="AB8" s="53">
        <f t="shared" si="1"/>
        <v>12</v>
      </c>
    </row>
    <row r="9" spans="1:28" ht="45" x14ac:dyDescent="0.25">
      <c r="A9" s="24">
        <v>6</v>
      </c>
      <c r="B9" s="25" t="s">
        <v>98</v>
      </c>
      <c r="C9" s="22">
        <v>10</v>
      </c>
      <c r="D9" s="22">
        <v>12</v>
      </c>
      <c r="E9" s="22">
        <v>9</v>
      </c>
      <c r="F9" s="22">
        <v>3</v>
      </c>
      <c r="G9" s="22">
        <v>15</v>
      </c>
      <c r="H9" s="22">
        <v>13</v>
      </c>
      <c r="I9" s="22">
        <v>6</v>
      </c>
      <c r="J9" s="22">
        <v>14</v>
      </c>
      <c r="K9" s="32">
        <v>18</v>
      </c>
      <c r="L9" s="44">
        <v>10</v>
      </c>
      <c r="M9" s="44">
        <v>8</v>
      </c>
      <c r="N9" s="44">
        <v>1</v>
      </c>
      <c r="O9" s="53">
        <f t="shared" si="0"/>
        <v>119</v>
      </c>
      <c r="P9" s="44">
        <v>32</v>
      </c>
      <c r="Q9" s="44">
        <v>10</v>
      </c>
      <c r="R9" s="44">
        <v>16</v>
      </c>
      <c r="S9" s="44">
        <v>4</v>
      </c>
      <c r="T9" s="44">
        <v>13</v>
      </c>
      <c r="U9" s="86">
        <v>18</v>
      </c>
      <c r="V9" s="86">
        <v>14</v>
      </c>
      <c r="W9" s="86">
        <v>13</v>
      </c>
      <c r="X9" s="86">
        <v>6</v>
      </c>
      <c r="Y9" s="86">
        <v>7</v>
      </c>
      <c r="Z9" s="98">
        <v>4</v>
      </c>
      <c r="AA9" s="98">
        <v>15</v>
      </c>
      <c r="AB9" s="53">
        <f t="shared" si="1"/>
        <v>152</v>
      </c>
    </row>
    <row r="10" spans="1:28" ht="30" x14ac:dyDescent="0.25">
      <c r="A10" s="24">
        <v>7</v>
      </c>
      <c r="B10" s="25" t="s">
        <v>99</v>
      </c>
      <c r="C10" s="22">
        <v>5</v>
      </c>
      <c r="D10" s="22">
        <v>14</v>
      </c>
      <c r="E10" s="22"/>
      <c r="F10" s="22"/>
      <c r="G10" s="22"/>
      <c r="H10" s="22"/>
      <c r="I10" s="22">
        <v>13</v>
      </c>
      <c r="J10" s="22">
        <v>17</v>
      </c>
      <c r="K10" s="32">
        <v>15</v>
      </c>
      <c r="L10" s="44">
        <v>13</v>
      </c>
      <c r="M10" s="44">
        <v>19</v>
      </c>
      <c r="N10" s="44">
        <v>7</v>
      </c>
      <c r="O10" s="53">
        <f t="shared" si="0"/>
        <v>103</v>
      </c>
      <c r="P10" s="44">
        <v>12</v>
      </c>
      <c r="Q10" s="44">
        <v>9</v>
      </c>
      <c r="R10" s="44">
        <v>12</v>
      </c>
      <c r="S10" s="44">
        <v>8</v>
      </c>
      <c r="T10" s="44">
        <v>12</v>
      </c>
      <c r="U10" s="86">
        <v>6</v>
      </c>
      <c r="V10" s="86">
        <v>7</v>
      </c>
      <c r="W10" s="86">
        <v>5</v>
      </c>
      <c r="X10" s="86">
        <v>7</v>
      </c>
      <c r="Y10" s="86">
        <v>10</v>
      </c>
      <c r="Z10" s="98">
        <v>7</v>
      </c>
      <c r="AA10" s="98">
        <v>9</v>
      </c>
      <c r="AB10" s="53">
        <f t="shared" si="1"/>
        <v>104</v>
      </c>
    </row>
    <row r="11" spans="1:28" ht="45" x14ac:dyDescent="0.25">
      <c r="A11" s="24">
        <v>8</v>
      </c>
      <c r="B11" s="25" t="s">
        <v>100</v>
      </c>
      <c r="C11" s="22">
        <v>12</v>
      </c>
      <c r="D11" s="22">
        <v>18</v>
      </c>
      <c r="E11" s="22"/>
      <c r="F11" s="22"/>
      <c r="G11" s="22"/>
      <c r="H11" s="22"/>
      <c r="I11" s="22">
        <v>21</v>
      </c>
      <c r="J11" s="22">
        <v>23</v>
      </c>
      <c r="K11" s="32">
        <v>13</v>
      </c>
      <c r="L11" s="44">
        <v>20</v>
      </c>
      <c r="M11" s="44">
        <v>26</v>
      </c>
      <c r="N11" s="44">
        <v>21</v>
      </c>
      <c r="O11" s="53">
        <f t="shared" si="0"/>
        <v>154</v>
      </c>
      <c r="P11" s="44">
        <v>17</v>
      </c>
      <c r="Q11" s="44">
        <v>11</v>
      </c>
      <c r="R11" s="44">
        <v>26</v>
      </c>
      <c r="S11" s="44">
        <v>4</v>
      </c>
      <c r="T11" s="44">
        <v>34</v>
      </c>
      <c r="U11" s="86">
        <v>28</v>
      </c>
      <c r="V11" s="86">
        <v>21</v>
      </c>
      <c r="W11" s="86">
        <v>21</v>
      </c>
      <c r="X11" s="86">
        <v>14</v>
      </c>
      <c r="Y11" s="86">
        <v>34</v>
      </c>
      <c r="Z11" s="98">
        <v>21</v>
      </c>
      <c r="AA11" s="98">
        <v>31</v>
      </c>
      <c r="AB11" s="53">
        <f t="shared" si="1"/>
        <v>262</v>
      </c>
    </row>
    <row r="12" spans="1:28" ht="30" x14ac:dyDescent="0.25">
      <c r="A12" s="24">
        <v>9</v>
      </c>
      <c r="B12" s="25" t="s">
        <v>101</v>
      </c>
      <c r="C12" s="22"/>
      <c r="D12" s="22"/>
      <c r="E12" s="22">
        <v>2</v>
      </c>
      <c r="F12" s="22">
        <v>2</v>
      </c>
      <c r="G12" s="22">
        <v>2</v>
      </c>
      <c r="H12" s="22">
        <v>2</v>
      </c>
      <c r="I12" s="22">
        <v>4</v>
      </c>
      <c r="J12" s="22">
        <v>2</v>
      </c>
      <c r="K12" s="32">
        <v>6</v>
      </c>
      <c r="L12" s="44">
        <v>3</v>
      </c>
      <c r="M12" s="44">
        <v>2</v>
      </c>
      <c r="N12" s="44">
        <v>3</v>
      </c>
      <c r="O12" s="53">
        <f>SUM(C12:N12)</f>
        <v>28</v>
      </c>
      <c r="P12" s="44">
        <v>4</v>
      </c>
      <c r="Q12" s="44">
        <v>2</v>
      </c>
      <c r="R12" s="44">
        <v>4</v>
      </c>
      <c r="S12" s="44">
        <v>2</v>
      </c>
      <c r="T12" s="44">
        <v>3</v>
      </c>
      <c r="U12" s="86">
        <v>4</v>
      </c>
      <c r="V12" s="86">
        <v>3</v>
      </c>
      <c r="W12" s="86">
        <v>2</v>
      </c>
      <c r="X12" s="86">
        <v>4</v>
      </c>
      <c r="Y12" s="86">
        <v>4</v>
      </c>
      <c r="Z12" s="98">
        <v>3</v>
      </c>
      <c r="AA12" s="98">
        <v>3</v>
      </c>
      <c r="AB12" s="53">
        <f>SUM(P12:AA12)</f>
        <v>38</v>
      </c>
    </row>
    <row r="48" spans="16:16" x14ac:dyDescent="0.25">
      <c r="P48" t="e">
        <f>SUM('TEC1'!O12D48:O48)</f>
        <v>#NAME?</v>
      </c>
    </row>
  </sheetData>
  <mergeCells count="4">
    <mergeCell ref="C1:N1"/>
    <mergeCell ref="C2:N2"/>
    <mergeCell ref="P1:AA1"/>
    <mergeCell ref="P2:A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showGridLines="0" workbookViewId="0">
      <selection activeCell="A5" sqref="A5"/>
    </sheetView>
  </sheetViews>
  <sheetFormatPr baseColWidth="10" defaultRowHeight="15" x14ac:dyDescent="0.25"/>
  <cols>
    <col min="1" max="1" width="9" style="60" customWidth="1"/>
    <col min="2" max="2" width="22.85546875" style="60" customWidth="1"/>
    <col min="3" max="3" width="10.5703125" style="60" hidden="1" customWidth="1"/>
    <col min="4" max="4" width="12.42578125" style="60" hidden="1" customWidth="1"/>
    <col min="5" max="5" width="10.85546875" style="60" hidden="1" customWidth="1"/>
    <col min="6" max="6" width="9.7109375" style="60" hidden="1" customWidth="1"/>
    <col min="7" max="7" width="10.28515625" style="60" hidden="1" customWidth="1"/>
    <col min="8" max="8" width="10.140625" style="60" hidden="1" customWidth="1"/>
    <col min="9" max="9" width="9.5703125" style="60" hidden="1" customWidth="1"/>
    <col min="10" max="10" width="11.5703125" style="60" hidden="1" customWidth="1"/>
    <col min="11" max="11" width="15.85546875" style="60" hidden="1" customWidth="1"/>
    <col min="12" max="12" width="12.5703125" style="60" hidden="1" customWidth="1"/>
    <col min="13" max="13" width="15.42578125" style="60" hidden="1" customWidth="1"/>
    <col min="14" max="14" width="14.5703125" style="60" hidden="1" customWidth="1"/>
    <col min="15" max="15" width="9.85546875" style="60" bestFit="1" customWidth="1"/>
    <col min="16" max="23" width="11.42578125" style="60"/>
    <col min="24" max="24" width="17.5703125" style="60" customWidth="1"/>
    <col min="25" max="25" width="12.5703125" style="60" bestFit="1" customWidth="1"/>
    <col min="26" max="26" width="15.42578125" style="60" bestFit="1" customWidth="1"/>
    <col min="27" max="27" width="14.5703125" style="60" bestFit="1" customWidth="1"/>
    <col min="28" max="16384" width="11.42578125" style="60"/>
  </cols>
  <sheetData>
    <row r="1" spans="1:28" ht="21" x14ac:dyDescent="0.25">
      <c r="A1" s="59"/>
      <c r="B1" s="59"/>
      <c r="C1" s="101" t="s">
        <v>102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9"/>
      <c r="P1" s="101" t="s">
        <v>102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59"/>
    </row>
    <row r="2" spans="1:28" ht="21" x14ac:dyDescent="0.25">
      <c r="A2" s="59"/>
      <c r="B2" s="59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59"/>
    </row>
    <row r="3" spans="1:28" ht="18.75" x14ac:dyDescent="0.25">
      <c r="A3" s="59"/>
      <c r="B3" s="59"/>
      <c r="C3" s="102" t="s">
        <v>14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59"/>
      <c r="P3" s="102" t="s">
        <v>107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59"/>
    </row>
    <row r="4" spans="1:28" ht="25.5" customHeight="1" x14ac:dyDescent="0.25">
      <c r="A4" s="62" t="s">
        <v>0</v>
      </c>
      <c r="B4" s="62" t="s">
        <v>1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20" t="s">
        <v>108</v>
      </c>
      <c r="P4" s="51" t="s">
        <v>110</v>
      </c>
      <c r="Q4" s="51" t="s">
        <v>111</v>
      </c>
      <c r="R4" s="51" t="s">
        <v>112</v>
      </c>
      <c r="S4" s="51" t="s">
        <v>113</v>
      </c>
      <c r="T4" s="51" t="s">
        <v>114</v>
      </c>
      <c r="U4" s="51" t="s">
        <v>115</v>
      </c>
      <c r="V4" s="51" t="s">
        <v>116</v>
      </c>
      <c r="W4" s="51" t="s">
        <v>117</v>
      </c>
      <c r="X4" s="51" t="s">
        <v>118</v>
      </c>
      <c r="Y4" s="51" t="s">
        <v>119</v>
      </c>
      <c r="Z4" s="51" t="s">
        <v>120</v>
      </c>
      <c r="AA4" s="51" t="s">
        <v>121</v>
      </c>
      <c r="AB4" s="52" t="s">
        <v>109</v>
      </c>
    </row>
    <row r="5" spans="1:28" ht="30" x14ac:dyDescent="0.25">
      <c r="A5" s="24">
        <v>1</v>
      </c>
      <c r="B5" s="25" t="s">
        <v>103</v>
      </c>
      <c r="C5" s="44"/>
      <c r="D5" s="44"/>
      <c r="E5" s="44"/>
      <c r="F5" s="44"/>
      <c r="G5" s="44"/>
      <c r="H5" s="64"/>
      <c r="I5" s="44">
        <v>1</v>
      </c>
      <c r="J5" s="44">
        <v>1</v>
      </c>
      <c r="K5" s="44">
        <v>1</v>
      </c>
      <c r="L5" s="44">
        <v>0</v>
      </c>
      <c r="M5" s="44">
        <v>0</v>
      </c>
      <c r="N5" s="44">
        <v>1</v>
      </c>
      <c r="O5" s="53">
        <f>SUM(C5:N5)</f>
        <v>4</v>
      </c>
      <c r="P5" s="44">
        <v>57</v>
      </c>
      <c r="Q5" s="44">
        <v>35</v>
      </c>
      <c r="R5" s="44">
        <v>88</v>
      </c>
      <c r="S5" s="44">
        <v>42</v>
      </c>
      <c r="T5" s="86">
        <v>439</v>
      </c>
      <c r="U5" s="64">
        <v>228</v>
      </c>
      <c r="V5" s="86">
        <v>329</v>
      </c>
      <c r="W5" s="86">
        <v>342</v>
      </c>
      <c r="X5" s="44">
        <v>345</v>
      </c>
      <c r="Y5" s="44">
        <v>57</v>
      </c>
      <c r="Z5" s="98">
        <v>72</v>
      </c>
      <c r="AA5" s="28">
        <v>0</v>
      </c>
      <c r="AB5" s="53">
        <f>SUM(P5:AA5)</f>
        <v>2034</v>
      </c>
    </row>
    <row r="6" spans="1:28" ht="45" x14ac:dyDescent="0.25">
      <c r="A6" s="24">
        <v>2</v>
      </c>
      <c r="B6" s="25" t="s">
        <v>104</v>
      </c>
      <c r="C6" s="19">
        <v>23</v>
      </c>
      <c r="D6" s="44">
        <v>20</v>
      </c>
      <c r="E6" s="44">
        <v>26</v>
      </c>
      <c r="F6" s="44">
        <v>23</v>
      </c>
      <c r="G6" s="44">
        <v>24</v>
      </c>
      <c r="H6" s="64">
        <v>26</v>
      </c>
      <c r="I6" s="44">
        <v>22</v>
      </c>
      <c r="J6" s="44">
        <v>23</v>
      </c>
      <c r="K6" s="44">
        <v>24</v>
      </c>
      <c r="L6" s="44">
        <v>21</v>
      </c>
      <c r="M6" s="44">
        <v>21</v>
      </c>
      <c r="N6" s="44">
        <v>24</v>
      </c>
      <c r="O6" s="53">
        <f>SUM(C6:N6)</f>
        <v>277</v>
      </c>
      <c r="P6" s="19">
        <v>22</v>
      </c>
      <c r="Q6" s="44">
        <v>19</v>
      </c>
      <c r="R6" s="44">
        <v>22</v>
      </c>
      <c r="S6" s="44">
        <v>23</v>
      </c>
      <c r="T6" s="86">
        <v>24</v>
      </c>
      <c r="U6" s="64">
        <v>22</v>
      </c>
      <c r="V6" s="86">
        <v>23</v>
      </c>
      <c r="W6" s="86">
        <v>31</v>
      </c>
      <c r="X6" s="44">
        <v>31</v>
      </c>
      <c r="Y6" s="44">
        <v>22</v>
      </c>
      <c r="Z6" s="98">
        <v>20</v>
      </c>
      <c r="AA6" s="28">
        <v>14</v>
      </c>
      <c r="AB6" s="53">
        <f>SUM(P6:AA6)</f>
        <v>273</v>
      </c>
    </row>
    <row r="7" spans="1:28" ht="45" x14ac:dyDescent="0.25">
      <c r="A7" s="24">
        <v>3</v>
      </c>
      <c r="B7" s="25" t="s">
        <v>87</v>
      </c>
      <c r="C7" s="44">
        <v>2060</v>
      </c>
      <c r="D7" s="44">
        <v>3078</v>
      </c>
      <c r="E7" s="44">
        <v>5564</v>
      </c>
      <c r="F7" s="44">
        <v>5557</v>
      </c>
      <c r="G7" s="44">
        <v>11144</v>
      </c>
      <c r="H7" s="64">
        <v>91</v>
      </c>
      <c r="I7" s="44">
        <v>76</v>
      </c>
      <c r="J7" s="44">
        <v>52</v>
      </c>
      <c r="K7" s="44">
        <v>42</v>
      </c>
      <c r="L7" s="44">
        <v>57</v>
      </c>
      <c r="M7" s="44">
        <v>19</v>
      </c>
      <c r="N7" s="44">
        <v>15</v>
      </c>
      <c r="O7" s="53">
        <f>SUM(C7:N7)</f>
        <v>27755</v>
      </c>
      <c r="P7" s="44">
        <v>57</v>
      </c>
      <c r="Q7" s="44">
        <v>35</v>
      </c>
      <c r="R7" s="44">
        <v>88</v>
      </c>
      <c r="S7" s="44">
        <v>42</v>
      </c>
      <c r="T7" s="86">
        <v>82</v>
      </c>
      <c r="U7" s="64">
        <v>37</v>
      </c>
      <c r="V7" s="86">
        <v>104</v>
      </c>
      <c r="W7" s="86">
        <v>40</v>
      </c>
      <c r="X7" s="44">
        <v>40</v>
      </c>
      <c r="Y7" s="44">
        <v>57</v>
      </c>
      <c r="Z7" s="98">
        <v>54</v>
      </c>
      <c r="AA7" s="28">
        <v>58</v>
      </c>
      <c r="AB7" s="53">
        <f>SUM(P7:AA7)</f>
        <v>694</v>
      </c>
    </row>
    <row r="8" spans="1:28" ht="30" x14ac:dyDescent="0.25">
      <c r="A8" s="24">
        <v>4</v>
      </c>
      <c r="B8" s="25" t="s">
        <v>105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64">
        <v>0</v>
      </c>
      <c r="I8" s="26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53">
        <f>SUM(C8:N8)</f>
        <v>0</v>
      </c>
      <c r="P8" s="44">
        <v>0</v>
      </c>
      <c r="Q8" s="44">
        <v>0</v>
      </c>
      <c r="R8" s="44">
        <v>0</v>
      </c>
      <c r="S8" s="26">
        <v>0</v>
      </c>
      <c r="T8" s="86">
        <v>0</v>
      </c>
      <c r="U8" s="64">
        <v>0</v>
      </c>
      <c r="V8" s="26">
        <v>0</v>
      </c>
      <c r="W8" s="86">
        <v>0</v>
      </c>
      <c r="X8" s="44">
        <v>0</v>
      </c>
      <c r="Y8" s="44">
        <v>0</v>
      </c>
      <c r="Z8" s="98">
        <v>0</v>
      </c>
      <c r="AA8" s="28">
        <v>0</v>
      </c>
      <c r="AB8" s="53">
        <f>SUM(P8:AA8)</f>
        <v>0</v>
      </c>
    </row>
  </sheetData>
  <mergeCells count="4">
    <mergeCell ref="C1:N1"/>
    <mergeCell ref="C3:N3"/>
    <mergeCell ref="P1:AA1"/>
    <mergeCell ref="P3:AA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showGridLines="0" topLeftCell="B1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hidden="1" customWidth="1"/>
    <col min="16" max="16" width="15" customWidth="1"/>
    <col min="17" max="28" width="15.42578125" bestFit="1" customWidth="1"/>
    <col min="29" max="29" width="15" customWidth="1"/>
  </cols>
  <sheetData>
    <row r="1" spans="1:29" s="4" customFormat="1" ht="29.25" customHeight="1" x14ac:dyDescent="0.25">
      <c r="D1" s="99" t="s">
        <v>55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Q1" s="99" t="s">
        <v>55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23"/>
    </row>
    <row r="2" spans="1:29" s="4" customFormat="1" ht="29.25" customHeight="1" x14ac:dyDescent="0.25">
      <c r="D2" s="100" t="s">
        <v>107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0" t="s">
        <v>107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23"/>
    </row>
    <row r="3" spans="1:29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108</v>
      </c>
      <c r="Q3" s="51" t="s">
        <v>110</v>
      </c>
      <c r="R3" s="51" t="s">
        <v>111</v>
      </c>
      <c r="S3" s="51" t="s">
        <v>112</v>
      </c>
      <c r="T3" s="51" t="s">
        <v>113</v>
      </c>
      <c r="U3" s="51" t="s">
        <v>114</v>
      </c>
      <c r="V3" s="51" t="s">
        <v>115</v>
      </c>
      <c r="W3" s="51" t="s">
        <v>116</v>
      </c>
      <c r="X3" s="51" t="s">
        <v>117</v>
      </c>
      <c r="Y3" s="51" t="s">
        <v>118</v>
      </c>
      <c r="Z3" s="51" t="s">
        <v>119</v>
      </c>
      <c r="AA3" s="51" t="s">
        <v>120</v>
      </c>
      <c r="AB3" s="51" t="s">
        <v>121</v>
      </c>
      <c r="AC3" s="52" t="s">
        <v>109</v>
      </c>
    </row>
    <row r="4" spans="1:29" ht="30" customHeight="1" x14ac:dyDescent="0.25">
      <c r="A4" s="55">
        <v>1</v>
      </c>
      <c r="B4" s="56" t="s">
        <v>48</v>
      </c>
      <c r="C4" s="6" t="s">
        <v>49</v>
      </c>
      <c r="D4" s="46">
        <v>3223</v>
      </c>
      <c r="E4" s="46">
        <v>4415</v>
      </c>
      <c r="F4" s="46">
        <v>5794</v>
      </c>
      <c r="G4" s="47">
        <v>2635</v>
      </c>
      <c r="H4" s="48">
        <v>5971</v>
      </c>
      <c r="I4" s="46">
        <v>5785</v>
      </c>
      <c r="J4" s="46">
        <v>4435</v>
      </c>
      <c r="K4" s="46">
        <v>4303</v>
      </c>
      <c r="L4" s="49">
        <v>3947</v>
      </c>
      <c r="M4" s="50">
        <v>3386</v>
      </c>
      <c r="N4" s="46">
        <v>2527</v>
      </c>
      <c r="O4" s="46">
        <v>3756</v>
      </c>
      <c r="P4" s="53">
        <f>SUM(D4:O4)</f>
        <v>50177</v>
      </c>
      <c r="Q4" s="84">
        <v>2611</v>
      </c>
      <c r="R4" s="83">
        <v>3717</v>
      </c>
      <c r="S4" s="46">
        <v>4878</v>
      </c>
      <c r="T4" s="85">
        <v>4216</v>
      </c>
      <c r="U4" s="15">
        <v>3716</v>
      </c>
      <c r="V4" s="46">
        <v>3032</v>
      </c>
      <c r="W4" s="46">
        <v>2427</v>
      </c>
      <c r="X4" s="84">
        <v>2097</v>
      </c>
      <c r="Y4" s="91">
        <v>1783</v>
      </c>
      <c r="Z4" s="95">
        <v>1852</v>
      </c>
      <c r="AA4" s="84">
        <v>1924</v>
      </c>
      <c r="AB4" s="84">
        <v>2709</v>
      </c>
      <c r="AC4" s="53">
        <f>SUM(Q4:AB4)</f>
        <v>34962</v>
      </c>
    </row>
    <row r="5" spans="1:29" ht="30" customHeight="1" x14ac:dyDescent="0.25">
      <c r="A5" s="55">
        <v>2</v>
      </c>
      <c r="B5" s="56" t="s">
        <v>48</v>
      </c>
      <c r="C5" s="6" t="s">
        <v>50</v>
      </c>
      <c r="D5" s="9">
        <v>1128050</v>
      </c>
      <c r="E5" s="9">
        <v>1545250</v>
      </c>
      <c r="F5" s="15">
        <v>2027900</v>
      </c>
      <c r="G5" s="16">
        <v>922250</v>
      </c>
      <c r="H5" s="16">
        <f>H4*350</f>
        <v>2089850</v>
      </c>
      <c r="I5" s="16">
        <f>I4*350</f>
        <v>2024750</v>
      </c>
      <c r="J5" s="16">
        <f>J4*350</f>
        <v>1552250</v>
      </c>
      <c r="K5" s="16">
        <f>K4*350</f>
        <v>1506050</v>
      </c>
      <c r="L5" s="37">
        <v>1381450</v>
      </c>
      <c r="M5" s="43">
        <v>1185100</v>
      </c>
      <c r="N5" s="9">
        <v>884450</v>
      </c>
      <c r="O5" s="45">
        <v>1314600</v>
      </c>
      <c r="P5" s="54">
        <f>SUM(D5:O5)</f>
        <v>17561950</v>
      </c>
      <c r="Q5" s="45">
        <v>913850</v>
      </c>
      <c r="R5" s="9">
        <v>1300950</v>
      </c>
      <c r="S5" s="15" t="s">
        <v>124</v>
      </c>
      <c r="T5" s="15">
        <v>1475600</v>
      </c>
      <c r="U5" s="15">
        <v>1300600</v>
      </c>
      <c r="V5" s="16">
        <v>1061200</v>
      </c>
      <c r="W5" s="16">
        <v>849450</v>
      </c>
      <c r="X5" s="16">
        <v>733950</v>
      </c>
      <c r="Y5" s="97">
        <v>624050</v>
      </c>
      <c r="Z5" s="93">
        <v>648200</v>
      </c>
      <c r="AA5" s="45">
        <v>673400</v>
      </c>
      <c r="AB5" s="16">
        <v>948150</v>
      </c>
      <c r="AC5" s="54">
        <f>SUM(Q5:AB5)</f>
        <v>10529400</v>
      </c>
    </row>
    <row r="6" spans="1:29" ht="30" customHeight="1" x14ac:dyDescent="0.25">
      <c r="A6" s="55">
        <v>3</v>
      </c>
      <c r="B6" s="56" t="s">
        <v>48</v>
      </c>
      <c r="C6" s="6" t="s">
        <v>51</v>
      </c>
      <c r="D6" s="9">
        <f>SUM(D5:D5)</f>
        <v>1128050</v>
      </c>
      <c r="E6" s="9">
        <f>SUM(E5:E5)</f>
        <v>1545250</v>
      </c>
      <c r="F6" s="9">
        <f>SUM(F5:F5)</f>
        <v>2027900</v>
      </c>
      <c r="G6" s="17">
        <v>922250</v>
      </c>
      <c r="H6" s="9">
        <f>SUM(H5:H5)</f>
        <v>2089850</v>
      </c>
      <c r="I6" s="9">
        <f>SUM(I5:I5)</f>
        <v>2024750</v>
      </c>
      <c r="J6" s="9">
        <f>SUM(J5:J5)</f>
        <v>1552250</v>
      </c>
      <c r="K6" s="9">
        <f>SUM(K5:K5)</f>
        <v>1506050</v>
      </c>
      <c r="L6" s="36">
        <v>1381450</v>
      </c>
      <c r="M6" s="42">
        <v>1185100</v>
      </c>
      <c r="N6" s="9">
        <v>884450</v>
      </c>
      <c r="O6" s="45">
        <v>1314600</v>
      </c>
      <c r="P6" s="54">
        <f>SUM(D6:O6)</f>
        <v>17561950</v>
      </c>
      <c r="Q6" s="45">
        <v>913850</v>
      </c>
      <c r="R6" s="9">
        <v>1300950</v>
      </c>
      <c r="S6" s="15" t="s">
        <v>124</v>
      </c>
      <c r="T6" s="15">
        <v>1475600</v>
      </c>
      <c r="U6" s="15">
        <v>1300600</v>
      </c>
      <c r="V6" s="9">
        <v>1061200</v>
      </c>
      <c r="W6" s="9">
        <v>849450</v>
      </c>
      <c r="X6" s="16">
        <v>733950</v>
      </c>
      <c r="Y6" s="96">
        <v>624050</v>
      </c>
      <c r="Z6" s="93">
        <v>648200</v>
      </c>
      <c r="AA6" s="45">
        <v>673400</v>
      </c>
      <c r="AB6" s="16">
        <v>948150</v>
      </c>
      <c r="AC6" s="54">
        <f>SUM(Q6:AB6)</f>
        <v>10529400</v>
      </c>
    </row>
    <row r="7" spans="1:29" ht="30" customHeight="1" x14ac:dyDescent="0.25">
      <c r="A7" s="55">
        <v>4</v>
      </c>
      <c r="B7" s="56" t="s">
        <v>52</v>
      </c>
      <c r="C7" s="6" t="s">
        <v>53</v>
      </c>
      <c r="D7" s="3">
        <v>166</v>
      </c>
      <c r="E7" s="3">
        <v>162</v>
      </c>
      <c r="F7" s="3">
        <v>171</v>
      </c>
      <c r="G7" s="3">
        <v>136</v>
      </c>
      <c r="H7" s="3">
        <v>122</v>
      </c>
      <c r="I7" s="3">
        <v>127</v>
      </c>
      <c r="J7" s="3">
        <v>127</v>
      </c>
      <c r="K7" s="3">
        <v>163</v>
      </c>
      <c r="L7" s="35">
        <v>142</v>
      </c>
      <c r="M7" s="41">
        <v>172</v>
      </c>
      <c r="N7" s="3">
        <v>0</v>
      </c>
      <c r="O7" s="44">
        <v>0</v>
      </c>
      <c r="P7" s="53">
        <f>SUM(D7:O7)</f>
        <v>1488</v>
      </c>
      <c r="Q7" s="94">
        <v>148</v>
      </c>
      <c r="R7" s="94">
        <v>137</v>
      </c>
      <c r="S7" s="94">
        <v>107</v>
      </c>
      <c r="T7" s="94">
        <v>115</v>
      </c>
      <c r="U7" s="94">
        <v>113</v>
      </c>
      <c r="V7" s="94">
        <v>124</v>
      </c>
      <c r="W7" s="94">
        <v>107</v>
      </c>
      <c r="X7" s="94">
        <v>143</v>
      </c>
      <c r="Y7" s="94">
        <v>148</v>
      </c>
      <c r="Z7" s="94">
        <v>278</v>
      </c>
      <c r="AA7" s="98">
        <v>0</v>
      </c>
      <c r="AB7" s="98">
        <v>0</v>
      </c>
      <c r="AC7" s="53">
        <f>SUM(Q7:AB7)</f>
        <v>1420</v>
      </c>
    </row>
    <row r="8" spans="1:29" ht="30" customHeight="1" x14ac:dyDescent="0.25">
      <c r="A8" s="55">
        <v>5</v>
      </c>
      <c r="B8" s="56" t="s">
        <v>52</v>
      </c>
      <c r="C8" s="6" t="s">
        <v>54</v>
      </c>
      <c r="D8" s="3">
        <v>143</v>
      </c>
      <c r="E8" s="3">
        <v>126</v>
      </c>
      <c r="F8" s="3">
        <v>158</v>
      </c>
      <c r="G8" s="3">
        <v>103</v>
      </c>
      <c r="H8" s="3">
        <v>86</v>
      </c>
      <c r="I8" s="3">
        <v>105</v>
      </c>
      <c r="J8" s="3">
        <v>118</v>
      </c>
      <c r="K8" s="3">
        <v>141</v>
      </c>
      <c r="L8" s="35">
        <v>97</v>
      </c>
      <c r="M8" s="41">
        <v>156</v>
      </c>
      <c r="N8" s="3">
        <v>0</v>
      </c>
      <c r="O8" s="44">
        <v>0</v>
      </c>
      <c r="P8" s="53">
        <f>SUM(D8:O8)</f>
        <v>1233</v>
      </c>
      <c r="Q8" s="94">
        <v>113</v>
      </c>
      <c r="R8" s="94">
        <v>116</v>
      </c>
      <c r="S8" s="94">
        <v>89</v>
      </c>
      <c r="T8" s="94">
        <v>106</v>
      </c>
      <c r="U8" s="94">
        <v>76</v>
      </c>
      <c r="V8" s="94">
        <v>167</v>
      </c>
      <c r="W8" s="94">
        <v>76</v>
      </c>
      <c r="X8" s="94">
        <v>121</v>
      </c>
      <c r="Y8" s="94">
        <v>71</v>
      </c>
      <c r="Z8" s="94">
        <v>219</v>
      </c>
      <c r="AA8" s="98">
        <v>0</v>
      </c>
      <c r="AB8" s="98">
        <v>0</v>
      </c>
      <c r="AC8" s="53">
        <f>SUM(Q8:AB8)</f>
        <v>1154</v>
      </c>
    </row>
  </sheetData>
  <mergeCells count="4">
    <mergeCell ref="D1:O1"/>
    <mergeCell ref="D2:O2"/>
    <mergeCell ref="Q1:AB1"/>
    <mergeCell ref="Q2:AB2"/>
  </mergeCells>
  <pageMargins left="0.25" right="0.25" top="0.75" bottom="0.75" header="0.3" footer="0.3"/>
  <pageSetup scale="52" fitToHeight="0" orientation="landscape" r:id="rId1"/>
  <ignoredErrors>
    <ignoredError sqref="F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"/>
  <sheetViews>
    <sheetView showGridLines="0" zoomScale="90" zoomScaleNormal="9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99" t="s">
        <v>89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99" t="s">
        <v>89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23"/>
    </row>
    <row r="2" spans="1:28" s="4" customFormat="1" ht="29.25" customHeight="1" x14ac:dyDescent="0.25">
      <c r="C2" s="100" t="s"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P2" s="100" t="s">
        <v>107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23"/>
    </row>
    <row r="3" spans="1:28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108</v>
      </c>
      <c r="P3" s="51" t="s">
        <v>110</v>
      </c>
      <c r="Q3" s="51" t="s">
        <v>111</v>
      </c>
      <c r="R3" s="51" t="s">
        <v>112</v>
      </c>
      <c r="S3" s="51" t="s">
        <v>113</v>
      </c>
      <c r="T3" s="51" t="s">
        <v>114</v>
      </c>
      <c r="U3" s="51" t="s">
        <v>115</v>
      </c>
      <c r="V3" s="51" t="s">
        <v>116</v>
      </c>
      <c r="W3" s="51" t="s">
        <v>117</v>
      </c>
      <c r="X3" s="51" t="s">
        <v>118</v>
      </c>
      <c r="Y3" s="51" t="s">
        <v>119</v>
      </c>
      <c r="Z3" s="51" t="s">
        <v>120</v>
      </c>
      <c r="AA3" s="51" t="s">
        <v>121</v>
      </c>
      <c r="AB3" s="52" t="s">
        <v>109</v>
      </c>
    </row>
    <row r="4" spans="1:28" ht="65.25" customHeight="1" x14ac:dyDescent="0.25">
      <c r="A4" s="5">
        <v>1</v>
      </c>
      <c r="B4" s="6" t="s">
        <v>88</v>
      </c>
      <c r="C4" s="3">
        <v>6</v>
      </c>
      <c r="D4" s="3">
        <v>5</v>
      </c>
      <c r="E4" s="18">
        <v>17</v>
      </c>
      <c r="F4" s="3">
        <v>12</v>
      </c>
      <c r="G4" s="3">
        <v>7</v>
      </c>
      <c r="H4" s="3">
        <v>5</v>
      </c>
      <c r="I4" s="3">
        <v>5</v>
      </c>
      <c r="J4" s="3">
        <v>20</v>
      </c>
      <c r="K4" s="3">
        <v>15</v>
      </c>
      <c r="L4" s="3">
        <v>26</v>
      </c>
      <c r="M4" s="3">
        <v>9</v>
      </c>
      <c r="N4" s="3">
        <v>5</v>
      </c>
      <c r="O4" s="53">
        <f>SUM(C4:N4)</f>
        <v>132</v>
      </c>
      <c r="P4" s="44">
        <v>20</v>
      </c>
      <c r="Q4" s="44">
        <v>28</v>
      </c>
      <c r="R4" s="26">
        <v>41</v>
      </c>
      <c r="S4" s="86">
        <v>20</v>
      </c>
      <c r="T4" s="86">
        <v>21</v>
      </c>
      <c r="U4" s="86">
        <v>28</v>
      </c>
      <c r="V4" s="86">
        <v>24</v>
      </c>
      <c r="W4" s="86">
        <v>24</v>
      </c>
      <c r="X4" s="86">
        <v>43</v>
      </c>
      <c r="Y4" s="94">
        <v>40</v>
      </c>
      <c r="Z4" s="94">
        <v>29</v>
      </c>
      <c r="AA4" s="98">
        <v>5</v>
      </c>
      <c r="AB4" s="53">
        <f>SUM(P4:AA4)</f>
        <v>323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topLeftCell="K1" zoomScale="90" zoomScaleNormal="9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140625" customWidth="1"/>
    <col min="4" max="15" width="15.42578125" customWidth="1"/>
    <col min="17" max="28" width="15.42578125" bestFit="1" customWidth="1"/>
  </cols>
  <sheetData>
    <row r="1" spans="1:29" s="4" customFormat="1" ht="29.25" customHeight="1" x14ac:dyDescent="0.25">
      <c r="D1" s="99" t="s">
        <v>90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Q1" s="99" t="s">
        <v>90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9" s="4" customFormat="1" ht="29.25" customHeight="1" x14ac:dyDescent="0.25">
      <c r="D2" s="100" t="s"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0" t="s">
        <v>107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9" ht="22.5" customHeight="1" x14ac:dyDescent="0.25">
      <c r="A3" s="1" t="s">
        <v>0</v>
      </c>
      <c r="B3" s="1" t="s">
        <v>15</v>
      </c>
      <c r="C3" s="1" t="s">
        <v>93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108</v>
      </c>
      <c r="Q3" s="51" t="s">
        <v>110</v>
      </c>
      <c r="R3" s="51" t="s">
        <v>111</v>
      </c>
      <c r="S3" s="51" t="s">
        <v>112</v>
      </c>
      <c r="T3" s="51" t="s">
        <v>113</v>
      </c>
      <c r="U3" s="51" t="s">
        <v>114</v>
      </c>
      <c r="V3" s="51" t="s">
        <v>115</v>
      </c>
      <c r="W3" s="51" t="s">
        <v>116</v>
      </c>
      <c r="X3" s="51" t="s">
        <v>117</v>
      </c>
      <c r="Y3" s="51" t="s">
        <v>118</v>
      </c>
      <c r="Z3" s="51" t="s">
        <v>119</v>
      </c>
      <c r="AA3" s="51" t="s">
        <v>120</v>
      </c>
      <c r="AB3" s="51" t="s">
        <v>121</v>
      </c>
      <c r="AC3" s="52" t="s">
        <v>109</v>
      </c>
    </row>
    <row r="4" spans="1:29" ht="30" customHeight="1" x14ac:dyDescent="0.25">
      <c r="A4" s="57">
        <v>1</v>
      </c>
      <c r="B4" s="58" t="s">
        <v>56</v>
      </c>
      <c r="C4" s="6" t="s">
        <v>57</v>
      </c>
      <c r="D4" s="12">
        <f>15</f>
        <v>15</v>
      </c>
      <c r="E4" s="12">
        <f>5+15</f>
        <v>20</v>
      </c>
      <c r="F4" s="13">
        <f>3+31</f>
        <v>34</v>
      </c>
      <c r="G4" s="12">
        <f>2+15</f>
        <v>17</v>
      </c>
      <c r="H4" s="12">
        <f>4+12</f>
        <v>16</v>
      </c>
      <c r="I4" s="12">
        <f>25+4</f>
        <v>29</v>
      </c>
      <c r="J4" s="12">
        <f>26</f>
        <v>26</v>
      </c>
      <c r="K4" s="12">
        <f>1+27</f>
        <v>28</v>
      </c>
      <c r="L4" s="33">
        <v>23</v>
      </c>
      <c r="M4" s="38">
        <v>26</v>
      </c>
      <c r="N4" s="12">
        <v>24</v>
      </c>
      <c r="O4" s="13">
        <v>7</v>
      </c>
      <c r="P4" s="53">
        <f t="shared" ref="P4:P40" si="0">SUM(D4:O4)</f>
        <v>265</v>
      </c>
      <c r="Q4" s="12">
        <v>29</v>
      </c>
      <c r="R4" s="12">
        <v>38</v>
      </c>
      <c r="S4" s="13">
        <v>33</v>
      </c>
      <c r="T4" s="12">
        <v>18</v>
      </c>
      <c r="U4" s="12">
        <v>30</v>
      </c>
      <c r="V4" s="12">
        <v>25</v>
      </c>
      <c r="W4" s="12">
        <v>28</v>
      </c>
      <c r="X4" s="12">
        <v>32</v>
      </c>
      <c r="Y4" s="33">
        <v>22</v>
      </c>
      <c r="Z4" s="40">
        <v>19</v>
      </c>
      <c r="AA4" s="12">
        <v>27</v>
      </c>
      <c r="AB4" s="13">
        <v>21</v>
      </c>
      <c r="AC4" s="53">
        <f t="shared" ref="AC4:AC40" si="1">SUM(Q4:AB4)</f>
        <v>322</v>
      </c>
    </row>
    <row r="5" spans="1:29" ht="30" customHeight="1" x14ac:dyDescent="0.25">
      <c r="A5" s="57">
        <v>2</v>
      </c>
      <c r="B5" s="58" t="s">
        <v>56</v>
      </c>
      <c r="C5" s="6" t="s">
        <v>58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33">
        <v>0</v>
      </c>
      <c r="M5" s="39">
        <v>0</v>
      </c>
      <c r="N5" s="12">
        <v>0</v>
      </c>
      <c r="O5" s="12">
        <v>0</v>
      </c>
      <c r="P5" s="53">
        <f t="shared" si="0"/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33">
        <v>0</v>
      </c>
      <c r="Z5" s="40">
        <v>0</v>
      </c>
      <c r="AA5" s="12">
        <v>0</v>
      </c>
      <c r="AB5" s="12">
        <v>0</v>
      </c>
      <c r="AC5" s="53">
        <f t="shared" si="1"/>
        <v>0</v>
      </c>
    </row>
    <row r="6" spans="1:29" ht="30" customHeight="1" x14ac:dyDescent="0.25">
      <c r="A6" s="57">
        <v>3</v>
      </c>
      <c r="B6" s="58" t="s">
        <v>56</v>
      </c>
      <c r="C6" s="6" t="s">
        <v>59</v>
      </c>
      <c r="D6" s="12">
        <f>4</f>
        <v>4</v>
      </c>
      <c r="E6" s="12">
        <f>1</f>
        <v>1</v>
      </c>
      <c r="F6" s="13">
        <f>8</f>
        <v>8</v>
      </c>
      <c r="G6" s="12">
        <f>6</f>
        <v>6</v>
      </c>
      <c r="H6" s="12">
        <v>0</v>
      </c>
      <c r="I6" s="12">
        <f>2</f>
        <v>2</v>
      </c>
      <c r="J6" s="12">
        <f>1</f>
        <v>1</v>
      </c>
      <c r="K6" s="12">
        <v>43</v>
      </c>
      <c r="L6" s="34">
        <v>1</v>
      </c>
      <c r="M6" s="38">
        <v>0</v>
      </c>
      <c r="N6" s="12">
        <v>0</v>
      </c>
      <c r="O6" s="12">
        <v>0</v>
      </c>
      <c r="P6" s="53">
        <f t="shared" si="0"/>
        <v>66</v>
      </c>
      <c r="Q6" s="12">
        <v>11</v>
      </c>
      <c r="R6" s="12">
        <v>0</v>
      </c>
      <c r="S6" s="13">
        <v>0</v>
      </c>
      <c r="T6" s="12">
        <v>0</v>
      </c>
      <c r="U6" s="12">
        <v>0</v>
      </c>
      <c r="V6" s="12">
        <v>25</v>
      </c>
      <c r="W6" s="12">
        <v>44</v>
      </c>
      <c r="X6" s="12">
        <v>27</v>
      </c>
      <c r="Y6" s="34">
        <v>5</v>
      </c>
      <c r="Z6" s="40">
        <v>4</v>
      </c>
      <c r="AA6" s="12">
        <v>0</v>
      </c>
      <c r="AB6" s="12">
        <v>2</v>
      </c>
      <c r="AC6" s="53">
        <f t="shared" si="1"/>
        <v>118</v>
      </c>
    </row>
    <row r="7" spans="1:29" ht="30" customHeight="1" x14ac:dyDescent="0.25">
      <c r="A7" s="57">
        <v>4</v>
      </c>
      <c r="B7" s="58" t="s">
        <v>56</v>
      </c>
      <c r="C7" s="6" t="s">
        <v>60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33">
        <v>0</v>
      </c>
      <c r="M7" s="39">
        <v>0</v>
      </c>
      <c r="N7" s="12">
        <v>1</v>
      </c>
      <c r="O7" s="13">
        <v>1</v>
      </c>
      <c r="P7" s="53">
        <f t="shared" si="0"/>
        <v>2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33">
        <v>0</v>
      </c>
      <c r="Z7" s="40">
        <v>0</v>
      </c>
      <c r="AA7" s="12">
        <v>0</v>
      </c>
      <c r="AB7" s="13">
        <v>0</v>
      </c>
      <c r="AC7" s="53">
        <f t="shared" si="1"/>
        <v>0</v>
      </c>
    </row>
    <row r="8" spans="1:29" ht="30" customHeight="1" x14ac:dyDescent="0.25">
      <c r="A8" s="57">
        <v>5</v>
      </c>
      <c r="B8" s="58" t="s">
        <v>56</v>
      </c>
      <c r="C8" s="6" t="s">
        <v>61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33">
        <v>0</v>
      </c>
      <c r="M8" s="39">
        <v>0</v>
      </c>
      <c r="N8" s="12">
        <v>0</v>
      </c>
      <c r="O8" s="12">
        <v>0</v>
      </c>
      <c r="P8" s="53">
        <f t="shared" si="0"/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33">
        <v>0</v>
      </c>
      <c r="Z8" s="40">
        <v>0</v>
      </c>
      <c r="AA8" s="12">
        <v>0</v>
      </c>
      <c r="AB8" s="12">
        <v>0</v>
      </c>
      <c r="AC8" s="53">
        <f t="shared" si="1"/>
        <v>0</v>
      </c>
    </row>
    <row r="9" spans="1:29" ht="30" customHeight="1" x14ac:dyDescent="0.25">
      <c r="A9" s="57">
        <v>6</v>
      </c>
      <c r="B9" s="58" t="s">
        <v>56</v>
      </c>
      <c r="C9" s="6" t="s">
        <v>62</v>
      </c>
      <c r="D9" s="12">
        <f>2+2+409</f>
        <v>413</v>
      </c>
      <c r="E9" s="12">
        <f>4+4+444+2</f>
        <v>454</v>
      </c>
      <c r="F9" s="13">
        <f>2+1+781+1+1</f>
        <v>786</v>
      </c>
      <c r="G9" s="12">
        <f>2+452+1</f>
        <v>455</v>
      </c>
      <c r="H9" s="12">
        <f>14+496+1</f>
        <v>511</v>
      </c>
      <c r="I9" s="12">
        <f>3+624+1+7</f>
        <v>635</v>
      </c>
      <c r="J9" s="12">
        <f>1+2+1+274</f>
        <v>278</v>
      </c>
      <c r="K9" s="12">
        <f>2+3+593+1+1</f>
        <v>600</v>
      </c>
      <c r="L9" s="33">
        <v>573</v>
      </c>
      <c r="M9" s="38">
        <v>626</v>
      </c>
      <c r="N9" s="12">
        <v>663</v>
      </c>
      <c r="O9" s="13">
        <v>318</v>
      </c>
      <c r="P9" s="53">
        <f t="shared" si="0"/>
        <v>6312</v>
      </c>
      <c r="Q9" s="12">
        <v>880</v>
      </c>
      <c r="R9" s="12">
        <v>836</v>
      </c>
      <c r="S9" s="13">
        <v>949</v>
      </c>
      <c r="T9" s="12">
        <v>756</v>
      </c>
      <c r="U9" s="12">
        <v>1218</v>
      </c>
      <c r="V9" s="12">
        <v>1046</v>
      </c>
      <c r="W9" s="12">
        <v>606</v>
      </c>
      <c r="X9" s="12">
        <v>1.292</v>
      </c>
      <c r="Y9" s="33">
        <v>1.389</v>
      </c>
      <c r="Z9" s="40">
        <v>1.335</v>
      </c>
      <c r="AA9" s="12">
        <v>1.242</v>
      </c>
      <c r="AB9" s="13">
        <v>872</v>
      </c>
      <c r="AC9" s="53">
        <f t="shared" si="1"/>
        <v>7168.2580000000007</v>
      </c>
    </row>
    <row r="10" spans="1:29" ht="30" customHeight="1" x14ac:dyDescent="0.25">
      <c r="A10" s="57">
        <v>7</v>
      </c>
      <c r="B10" s="58" t="s">
        <v>56</v>
      </c>
      <c r="C10" s="6" t="s">
        <v>63</v>
      </c>
      <c r="D10" s="12">
        <v>4</v>
      </c>
      <c r="E10" s="12">
        <v>6</v>
      </c>
      <c r="F10" s="13">
        <f>3</f>
        <v>3</v>
      </c>
      <c r="G10" s="12">
        <f>4</f>
        <v>4</v>
      </c>
      <c r="H10" s="12">
        <f>5</f>
        <v>5</v>
      </c>
      <c r="I10" s="12">
        <v>2</v>
      </c>
      <c r="J10" s="12">
        <v>0</v>
      </c>
      <c r="K10" s="12">
        <v>3</v>
      </c>
      <c r="L10" s="33">
        <v>0</v>
      </c>
      <c r="M10" s="38">
        <v>0</v>
      </c>
      <c r="N10" s="12">
        <v>1</v>
      </c>
      <c r="O10" s="13">
        <v>0</v>
      </c>
      <c r="P10" s="53">
        <f t="shared" si="0"/>
        <v>28</v>
      </c>
      <c r="Q10" s="12">
        <v>0</v>
      </c>
      <c r="R10" s="12">
        <v>0</v>
      </c>
      <c r="S10" s="13">
        <v>2</v>
      </c>
      <c r="T10" s="12">
        <v>3</v>
      </c>
      <c r="U10" s="12">
        <v>2</v>
      </c>
      <c r="V10" s="12">
        <v>0</v>
      </c>
      <c r="W10" s="12">
        <v>0</v>
      </c>
      <c r="X10" s="12">
        <v>2</v>
      </c>
      <c r="Y10" s="33">
        <v>3</v>
      </c>
      <c r="Z10" s="40">
        <v>1</v>
      </c>
      <c r="AA10" s="12">
        <v>5</v>
      </c>
      <c r="AB10" s="13">
        <v>0</v>
      </c>
      <c r="AC10" s="53">
        <f t="shared" si="1"/>
        <v>18</v>
      </c>
    </row>
    <row r="11" spans="1:29" ht="30" customHeight="1" x14ac:dyDescent="0.25">
      <c r="A11" s="57">
        <v>8</v>
      </c>
      <c r="B11" s="58" t="s">
        <v>64</v>
      </c>
      <c r="C11" s="6" t="s">
        <v>57</v>
      </c>
      <c r="D11" s="12">
        <f>11+13</f>
        <v>24</v>
      </c>
      <c r="E11" s="12">
        <f>8+20</f>
        <v>28</v>
      </c>
      <c r="F11" s="13">
        <f>2+9</f>
        <v>11</v>
      </c>
      <c r="G11" s="12">
        <f>13</f>
        <v>13</v>
      </c>
      <c r="H11" s="12">
        <f>3+19</f>
        <v>22</v>
      </c>
      <c r="I11" s="12">
        <f>20</f>
        <v>20</v>
      </c>
      <c r="J11" s="12">
        <f>5+11</f>
        <v>16</v>
      </c>
      <c r="K11" s="12">
        <f>1+7</f>
        <v>8</v>
      </c>
      <c r="L11" s="33">
        <v>12</v>
      </c>
      <c r="M11" s="38">
        <v>19</v>
      </c>
      <c r="N11" s="12">
        <v>7</v>
      </c>
      <c r="O11" s="13">
        <v>9</v>
      </c>
      <c r="P11" s="53">
        <f t="shared" si="0"/>
        <v>189</v>
      </c>
      <c r="Q11" s="12">
        <v>5</v>
      </c>
      <c r="R11" s="12">
        <v>8</v>
      </c>
      <c r="S11" s="13">
        <v>15</v>
      </c>
      <c r="T11" s="12">
        <v>8</v>
      </c>
      <c r="U11" s="12">
        <v>4</v>
      </c>
      <c r="V11" s="12">
        <v>20</v>
      </c>
      <c r="W11" s="12">
        <v>5</v>
      </c>
      <c r="X11" s="12">
        <v>4</v>
      </c>
      <c r="Y11" s="33">
        <v>9</v>
      </c>
      <c r="Z11" s="40">
        <v>6</v>
      </c>
      <c r="AA11" s="12">
        <v>14</v>
      </c>
      <c r="AB11" s="13">
        <v>6</v>
      </c>
      <c r="AC11" s="53">
        <f t="shared" si="1"/>
        <v>104</v>
      </c>
    </row>
    <row r="12" spans="1:29" ht="30" customHeight="1" x14ac:dyDescent="0.25">
      <c r="A12" s="57">
        <v>9</v>
      </c>
      <c r="B12" s="58" t="s">
        <v>64</v>
      </c>
      <c r="C12" s="6" t="s">
        <v>58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33">
        <v>0</v>
      </c>
      <c r="M12" s="39">
        <v>0</v>
      </c>
      <c r="N12" s="12">
        <v>0</v>
      </c>
      <c r="O12" s="12">
        <v>0</v>
      </c>
      <c r="P12" s="53">
        <f t="shared" si="0"/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33">
        <v>0</v>
      </c>
      <c r="Z12" s="40">
        <v>0</v>
      </c>
      <c r="AA12" s="12">
        <v>0</v>
      </c>
      <c r="AB12" s="12">
        <v>0</v>
      </c>
      <c r="AC12" s="53">
        <f t="shared" si="1"/>
        <v>0</v>
      </c>
    </row>
    <row r="13" spans="1:29" ht="30" customHeight="1" x14ac:dyDescent="0.25">
      <c r="A13" s="57">
        <v>10</v>
      </c>
      <c r="B13" s="58" t="s">
        <v>64</v>
      </c>
      <c r="C13" s="6" t="s">
        <v>59</v>
      </c>
      <c r="D13" s="12">
        <v>0</v>
      </c>
      <c r="E13" s="12">
        <f>2</f>
        <v>2</v>
      </c>
      <c r="F13" s="13">
        <f>1</f>
        <v>1</v>
      </c>
      <c r="G13" s="12">
        <f>1</f>
        <v>1</v>
      </c>
      <c r="H13" s="12">
        <f>1</f>
        <v>1</v>
      </c>
      <c r="I13" s="12">
        <v>0</v>
      </c>
      <c r="J13" s="12">
        <v>0</v>
      </c>
      <c r="K13" s="12">
        <v>43</v>
      </c>
      <c r="L13" s="34">
        <v>0</v>
      </c>
      <c r="M13" s="38">
        <v>0</v>
      </c>
      <c r="N13" s="12">
        <v>0</v>
      </c>
      <c r="O13" s="12">
        <v>0</v>
      </c>
      <c r="P13" s="53">
        <f t="shared" si="0"/>
        <v>48</v>
      </c>
      <c r="Q13" s="12">
        <v>0</v>
      </c>
      <c r="R13" s="12">
        <v>0</v>
      </c>
      <c r="S13" s="13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34">
        <v>0</v>
      </c>
      <c r="Z13" s="40">
        <v>0</v>
      </c>
      <c r="AA13" s="12">
        <v>0</v>
      </c>
      <c r="AB13" s="12">
        <v>0</v>
      </c>
      <c r="AC13" s="53">
        <f t="shared" si="1"/>
        <v>0</v>
      </c>
    </row>
    <row r="14" spans="1:29" ht="30" customHeight="1" x14ac:dyDescent="0.25">
      <c r="A14" s="57">
        <v>11</v>
      </c>
      <c r="B14" s="58" t="s">
        <v>64</v>
      </c>
      <c r="C14" s="6" t="s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33">
        <v>0</v>
      </c>
      <c r="M14" s="39">
        <v>0</v>
      </c>
      <c r="N14" s="12">
        <v>0</v>
      </c>
      <c r="O14" s="12">
        <v>0</v>
      </c>
      <c r="P14" s="53">
        <f t="shared" si="0"/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33">
        <v>0</v>
      </c>
      <c r="Z14" s="40">
        <v>0</v>
      </c>
      <c r="AA14" s="12">
        <v>0</v>
      </c>
      <c r="AB14" s="12">
        <v>0</v>
      </c>
      <c r="AC14" s="53">
        <f t="shared" si="1"/>
        <v>0</v>
      </c>
    </row>
    <row r="15" spans="1:29" ht="30" customHeight="1" x14ac:dyDescent="0.25">
      <c r="A15" s="57">
        <v>12</v>
      </c>
      <c r="B15" s="58" t="s">
        <v>64</v>
      </c>
      <c r="C15" s="6" t="s">
        <v>61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33">
        <v>0</v>
      </c>
      <c r="M15" s="39">
        <v>0</v>
      </c>
      <c r="N15" s="12">
        <v>0</v>
      </c>
      <c r="O15" s="12">
        <v>0</v>
      </c>
      <c r="P15" s="53">
        <f t="shared" si="0"/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33">
        <v>0</v>
      </c>
      <c r="Z15" s="40">
        <v>0</v>
      </c>
      <c r="AA15" s="12">
        <v>0</v>
      </c>
      <c r="AB15" s="12">
        <v>0</v>
      </c>
      <c r="AC15" s="53">
        <f t="shared" si="1"/>
        <v>0</v>
      </c>
    </row>
    <row r="16" spans="1:29" ht="30" customHeight="1" x14ac:dyDescent="0.25">
      <c r="A16" s="57">
        <v>13</v>
      </c>
      <c r="B16" s="58" t="s">
        <v>64</v>
      </c>
      <c r="C16" s="6" t="s">
        <v>62</v>
      </c>
      <c r="D16" s="12">
        <f>6+9+16</f>
        <v>31</v>
      </c>
      <c r="E16" s="12">
        <f>2+13+26</f>
        <v>41</v>
      </c>
      <c r="F16" s="13">
        <f>2+70+3</f>
        <v>75</v>
      </c>
      <c r="G16" s="12">
        <f>3+14+11</f>
        <v>28</v>
      </c>
      <c r="H16" s="12">
        <f>2+2+12</f>
        <v>16</v>
      </c>
      <c r="I16" s="12">
        <f>6+43+3+13</f>
        <v>65</v>
      </c>
      <c r="J16" s="12">
        <f>2+6+5+1</f>
        <v>14</v>
      </c>
      <c r="K16" s="12">
        <f>4+28+23+4</f>
        <v>59</v>
      </c>
      <c r="L16" s="33">
        <v>12</v>
      </c>
      <c r="M16" s="38">
        <v>12</v>
      </c>
      <c r="N16" s="12">
        <v>16</v>
      </c>
      <c r="O16" s="13">
        <v>9</v>
      </c>
      <c r="P16" s="53">
        <f t="shared" si="0"/>
        <v>378</v>
      </c>
      <c r="Q16" s="12">
        <v>17</v>
      </c>
      <c r="R16" s="12">
        <v>13</v>
      </c>
      <c r="S16" s="13">
        <v>4</v>
      </c>
      <c r="T16" s="12">
        <v>5</v>
      </c>
      <c r="U16" s="12">
        <v>17</v>
      </c>
      <c r="V16" s="12">
        <v>8</v>
      </c>
      <c r="W16" s="12">
        <v>7</v>
      </c>
      <c r="X16" s="12">
        <v>8</v>
      </c>
      <c r="Y16" s="33">
        <v>11</v>
      </c>
      <c r="Z16" s="40">
        <v>9</v>
      </c>
      <c r="AA16" s="12">
        <v>8</v>
      </c>
      <c r="AB16" s="13">
        <v>11</v>
      </c>
      <c r="AC16" s="53">
        <f t="shared" si="1"/>
        <v>118</v>
      </c>
    </row>
    <row r="17" spans="1:29" ht="30" customHeight="1" x14ac:dyDescent="0.25">
      <c r="A17" s="57">
        <v>14</v>
      </c>
      <c r="B17" s="58" t="s">
        <v>64</v>
      </c>
      <c r="C17" s="6" t="s">
        <v>63</v>
      </c>
      <c r="D17" s="12">
        <v>0</v>
      </c>
      <c r="E17" s="12">
        <v>1</v>
      </c>
      <c r="F17" s="13">
        <f>1</f>
        <v>1</v>
      </c>
      <c r="G17" s="12">
        <f>2</f>
        <v>2</v>
      </c>
      <c r="H17" s="12">
        <f>1</f>
        <v>1</v>
      </c>
      <c r="I17" s="12">
        <v>2</v>
      </c>
      <c r="J17" s="12">
        <v>0</v>
      </c>
      <c r="K17" s="12">
        <v>0</v>
      </c>
      <c r="L17" s="33">
        <v>1</v>
      </c>
      <c r="M17" s="38">
        <v>0</v>
      </c>
      <c r="N17" s="12">
        <v>0</v>
      </c>
      <c r="O17" s="13">
        <v>0</v>
      </c>
      <c r="P17" s="53">
        <f t="shared" si="0"/>
        <v>8</v>
      </c>
      <c r="Q17" s="12">
        <v>2</v>
      </c>
      <c r="R17" s="12">
        <v>2</v>
      </c>
      <c r="S17" s="13">
        <v>0</v>
      </c>
      <c r="T17" s="12">
        <v>0</v>
      </c>
      <c r="U17" s="12">
        <v>1</v>
      </c>
      <c r="V17" s="12">
        <v>0</v>
      </c>
      <c r="W17" s="12">
        <v>1</v>
      </c>
      <c r="X17" s="12">
        <v>2</v>
      </c>
      <c r="Y17" s="33">
        <v>0</v>
      </c>
      <c r="Z17" s="40">
        <v>3</v>
      </c>
      <c r="AA17" s="12">
        <v>3</v>
      </c>
      <c r="AB17" s="13">
        <v>0</v>
      </c>
      <c r="AC17" s="53">
        <f t="shared" si="1"/>
        <v>14</v>
      </c>
    </row>
    <row r="18" spans="1:29" ht="30" customHeight="1" x14ac:dyDescent="0.25">
      <c r="A18" s="57">
        <v>15</v>
      </c>
      <c r="B18" s="58" t="s">
        <v>65</v>
      </c>
      <c r="C18" s="6" t="s">
        <v>57</v>
      </c>
      <c r="D18" s="12">
        <f>2+3</f>
        <v>5</v>
      </c>
      <c r="E18" s="12">
        <f>12</f>
        <v>12</v>
      </c>
      <c r="F18" s="13">
        <f>1</f>
        <v>1</v>
      </c>
      <c r="G18" s="12">
        <f>1</f>
        <v>1</v>
      </c>
      <c r="H18" s="12">
        <f>1</f>
        <v>1</v>
      </c>
      <c r="I18" s="12">
        <f>2</f>
        <v>2</v>
      </c>
      <c r="J18" s="12">
        <f>1+2</f>
        <v>3</v>
      </c>
      <c r="K18" s="12">
        <v>2</v>
      </c>
      <c r="L18" s="33">
        <v>3</v>
      </c>
      <c r="M18" s="38">
        <v>6</v>
      </c>
      <c r="N18" s="12">
        <v>2</v>
      </c>
      <c r="O18" s="13">
        <v>5</v>
      </c>
      <c r="P18" s="53">
        <f t="shared" si="0"/>
        <v>43</v>
      </c>
      <c r="Q18" s="12">
        <v>4</v>
      </c>
      <c r="R18" s="12">
        <v>3</v>
      </c>
      <c r="S18" s="13">
        <v>11</v>
      </c>
      <c r="T18" s="12">
        <v>3</v>
      </c>
      <c r="U18" s="12">
        <v>2</v>
      </c>
      <c r="V18" s="12">
        <v>5</v>
      </c>
      <c r="W18" s="12">
        <v>2</v>
      </c>
      <c r="X18" s="12">
        <v>0</v>
      </c>
      <c r="Y18" s="33">
        <v>4</v>
      </c>
      <c r="Z18" s="40">
        <v>3</v>
      </c>
      <c r="AA18" s="12">
        <v>2</v>
      </c>
      <c r="AB18" s="13">
        <v>3</v>
      </c>
      <c r="AC18" s="53">
        <f t="shared" si="1"/>
        <v>42</v>
      </c>
    </row>
    <row r="19" spans="1:29" ht="30" customHeight="1" x14ac:dyDescent="0.25">
      <c r="A19" s="57">
        <v>16</v>
      </c>
      <c r="B19" s="58" t="s">
        <v>65</v>
      </c>
      <c r="C19" s="6" t="s">
        <v>58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33">
        <v>0</v>
      </c>
      <c r="M19" s="38">
        <v>0</v>
      </c>
      <c r="N19" s="12">
        <v>0</v>
      </c>
      <c r="O19" s="12">
        <v>0</v>
      </c>
      <c r="P19" s="53">
        <f t="shared" si="0"/>
        <v>0</v>
      </c>
      <c r="Q19" s="12">
        <v>0</v>
      </c>
      <c r="R19" s="12">
        <v>0</v>
      </c>
      <c r="S19" s="13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33">
        <v>0</v>
      </c>
      <c r="Z19" s="40">
        <v>0</v>
      </c>
      <c r="AA19" s="12">
        <v>0</v>
      </c>
      <c r="AB19" s="12">
        <v>0</v>
      </c>
      <c r="AC19" s="53">
        <f t="shared" si="1"/>
        <v>0</v>
      </c>
    </row>
    <row r="20" spans="1:29" ht="30" customHeight="1" x14ac:dyDescent="0.25">
      <c r="A20" s="57">
        <v>17</v>
      </c>
      <c r="B20" s="58" t="s">
        <v>65</v>
      </c>
      <c r="C20" s="6" t="s">
        <v>59</v>
      </c>
      <c r="D20" s="12">
        <v>0</v>
      </c>
      <c r="E20" s="12">
        <f>2</f>
        <v>2</v>
      </c>
      <c r="F20" s="13">
        <f>1</f>
        <v>1</v>
      </c>
      <c r="G20" s="12">
        <f>1</f>
        <v>1</v>
      </c>
      <c r="H20" s="12">
        <f>1</f>
        <v>1</v>
      </c>
      <c r="I20" s="12">
        <v>0</v>
      </c>
      <c r="J20" s="12">
        <v>0</v>
      </c>
      <c r="K20" s="12">
        <v>43</v>
      </c>
      <c r="L20" s="34">
        <v>0</v>
      </c>
      <c r="M20" s="38">
        <v>0</v>
      </c>
      <c r="N20" s="12">
        <v>0</v>
      </c>
      <c r="O20" s="12">
        <v>0</v>
      </c>
      <c r="P20" s="53">
        <f t="shared" si="0"/>
        <v>48</v>
      </c>
      <c r="Q20" s="12">
        <v>0</v>
      </c>
      <c r="R20" s="12">
        <v>0</v>
      </c>
      <c r="S20" s="13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34">
        <v>0</v>
      </c>
      <c r="Z20" s="40">
        <v>0</v>
      </c>
      <c r="AA20" s="12">
        <v>0</v>
      </c>
      <c r="AB20" s="12">
        <v>0</v>
      </c>
      <c r="AC20" s="53">
        <f t="shared" si="1"/>
        <v>0</v>
      </c>
    </row>
    <row r="21" spans="1:29" ht="30" customHeight="1" x14ac:dyDescent="0.25">
      <c r="A21" s="57">
        <v>18</v>
      </c>
      <c r="B21" s="58" t="s">
        <v>65</v>
      </c>
      <c r="C21" s="6" t="s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33">
        <v>0</v>
      </c>
      <c r="M21" s="39">
        <v>0</v>
      </c>
      <c r="N21" s="12">
        <v>0</v>
      </c>
      <c r="O21" s="12">
        <v>0</v>
      </c>
      <c r="P21" s="53">
        <f t="shared" si="0"/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33">
        <v>0</v>
      </c>
      <c r="Z21" s="40">
        <v>0</v>
      </c>
      <c r="AA21" s="12">
        <v>0</v>
      </c>
      <c r="AB21" s="12">
        <v>0</v>
      </c>
      <c r="AC21" s="53">
        <f t="shared" si="1"/>
        <v>0</v>
      </c>
    </row>
    <row r="22" spans="1:29" ht="30" customHeight="1" x14ac:dyDescent="0.25">
      <c r="A22" s="57">
        <v>19</v>
      </c>
      <c r="B22" s="58" t="s">
        <v>65</v>
      </c>
      <c r="C22" s="6" t="s">
        <v>61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33">
        <v>0</v>
      </c>
      <c r="M22" s="39">
        <v>0</v>
      </c>
      <c r="N22" s="12">
        <v>0</v>
      </c>
      <c r="O22" s="12">
        <v>0</v>
      </c>
      <c r="P22" s="53">
        <f t="shared" si="0"/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33">
        <v>0</v>
      </c>
      <c r="Z22" s="40">
        <v>0</v>
      </c>
      <c r="AA22" s="12">
        <v>0</v>
      </c>
      <c r="AB22" s="12">
        <v>0</v>
      </c>
      <c r="AC22" s="53">
        <f t="shared" si="1"/>
        <v>0</v>
      </c>
    </row>
    <row r="23" spans="1:29" ht="30" customHeight="1" x14ac:dyDescent="0.25">
      <c r="A23" s="57">
        <v>20</v>
      </c>
      <c r="B23" s="58" t="s">
        <v>65</v>
      </c>
      <c r="C23" s="6" t="s">
        <v>62</v>
      </c>
      <c r="D23" s="12">
        <f>2+7+2</f>
        <v>11</v>
      </c>
      <c r="E23" s="12">
        <f>5+10</f>
        <v>15</v>
      </c>
      <c r="F23" s="13">
        <f>19+3</f>
        <v>22</v>
      </c>
      <c r="G23" s="12">
        <f>1+8+3</f>
        <v>12</v>
      </c>
      <c r="H23" s="12">
        <f>1+2+2</f>
        <v>5</v>
      </c>
      <c r="I23" s="12">
        <f>5+8+6</f>
        <v>19</v>
      </c>
      <c r="J23" s="12">
        <f>1+6+1</f>
        <v>8</v>
      </c>
      <c r="K23" s="12">
        <f>1+17+2+4</f>
        <v>24</v>
      </c>
      <c r="L23" s="33">
        <v>7</v>
      </c>
      <c r="M23" s="38">
        <v>5</v>
      </c>
      <c r="N23" s="12">
        <v>9</v>
      </c>
      <c r="O23" s="13">
        <v>2</v>
      </c>
      <c r="P23" s="53">
        <f t="shared" si="0"/>
        <v>139</v>
      </c>
      <c r="Q23" s="12">
        <v>8</v>
      </c>
      <c r="R23" s="12">
        <v>4</v>
      </c>
      <c r="S23" s="13">
        <v>1</v>
      </c>
      <c r="T23" s="12">
        <v>2</v>
      </c>
      <c r="U23" s="12">
        <v>6</v>
      </c>
      <c r="V23" s="12">
        <v>0</v>
      </c>
      <c r="W23" s="12">
        <v>1</v>
      </c>
      <c r="X23" s="12">
        <v>2</v>
      </c>
      <c r="Y23" s="33">
        <v>2</v>
      </c>
      <c r="Z23" s="40">
        <v>1</v>
      </c>
      <c r="AA23" s="12">
        <v>3</v>
      </c>
      <c r="AB23" s="13">
        <v>6</v>
      </c>
      <c r="AC23" s="53">
        <f t="shared" si="1"/>
        <v>36</v>
      </c>
    </row>
    <row r="24" spans="1:29" ht="30" customHeight="1" x14ac:dyDescent="0.25">
      <c r="A24" s="57">
        <v>21</v>
      </c>
      <c r="B24" s="58" t="s">
        <v>65</v>
      </c>
      <c r="C24" s="6" t="s">
        <v>63</v>
      </c>
      <c r="D24" s="12">
        <v>0</v>
      </c>
      <c r="E24" s="12">
        <v>1</v>
      </c>
      <c r="F24" s="13">
        <f>1</f>
        <v>1</v>
      </c>
      <c r="G24" s="12">
        <f>2</f>
        <v>2</v>
      </c>
      <c r="H24" s="12">
        <f>1</f>
        <v>1</v>
      </c>
      <c r="I24" s="12">
        <v>2</v>
      </c>
      <c r="J24" s="12">
        <v>0</v>
      </c>
      <c r="K24" s="12">
        <v>0</v>
      </c>
      <c r="L24" s="33">
        <v>1</v>
      </c>
      <c r="M24" s="38">
        <v>0</v>
      </c>
      <c r="N24" s="12">
        <v>0</v>
      </c>
      <c r="O24" s="13">
        <v>0</v>
      </c>
      <c r="P24" s="53">
        <f t="shared" si="0"/>
        <v>8</v>
      </c>
      <c r="Q24" s="12">
        <v>2</v>
      </c>
      <c r="R24" s="12">
        <v>2</v>
      </c>
      <c r="S24" s="13">
        <v>0</v>
      </c>
      <c r="T24" s="12">
        <v>0</v>
      </c>
      <c r="U24" s="12">
        <v>1</v>
      </c>
      <c r="V24" s="12">
        <v>0</v>
      </c>
      <c r="W24" s="12">
        <v>1</v>
      </c>
      <c r="X24" s="12">
        <v>0</v>
      </c>
      <c r="Y24" s="33">
        <v>0</v>
      </c>
      <c r="Z24" s="40">
        <v>0</v>
      </c>
      <c r="AA24" s="12">
        <v>0</v>
      </c>
      <c r="AB24" s="13">
        <v>0</v>
      </c>
      <c r="AC24" s="53">
        <f t="shared" si="1"/>
        <v>6</v>
      </c>
    </row>
    <row r="25" spans="1:29" ht="30" customHeight="1" x14ac:dyDescent="0.25">
      <c r="A25" s="57">
        <v>22</v>
      </c>
      <c r="B25" s="58" t="s">
        <v>66</v>
      </c>
      <c r="C25" s="6" t="s">
        <v>57</v>
      </c>
      <c r="D25" s="12">
        <f>9+10</f>
        <v>19</v>
      </c>
      <c r="E25" s="12">
        <f>8+8</f>
        <v>16</v>
      </c>
      <c r="F25" s="13">
        <f>1+9</f>
        <v>10</v>
      </c>
      <c r="G25" s="12">
        <f>12</f>
        <v>12</v>
      </c>
      <c r="H25" s="12">
        <f>3+18</f>
        <v>21</v>
      </c>
      <c r="I25" s="12">
        <f>18</f>
        <v>18</v>
      </c>
      <c r="J25" s="12">
        <f>4+9</f>
        <v>13</v>
      </c>
      <c r="K25" s="12">
        <f>1+5</f>
        <v>6</v>
      </c>
      <c r="L25" s="33">
        <v>9</v>
      </c>
      <c r="M25" s="38">
        <v>13</v>
      </c>
      <c r="N25" s="12">
        <v>5</v>
      </c>
      <c r="O25" s="13">
        <v>4</v>
      </c>
      <c r="P25" s="53">
        <f t="shared" si="0"/>
        <v>146</v>
      </c>
      <c r="Q25" s="12">
        <v>1</v>
      </c>
      <c r="R25" s="12">
        <v>5</v>
      </c>
      <c r="S25" s="13">
        <v>4</v>
      </c>
      <c r="T25" s="12">
        <v>5</v>
      </c>
      <c r="U25" s="12">
        <v>2</v>
      </c>
      <c r="V25" s="12">
        <v>15</v>
      </c>
      <c r="W25" s="12">
        <v>3</v>
      </c>
      <c r="X25" s="12">
        <v>4</v>
      </c>
      <c r="Y25" s="33">
        <v>5</v>
      </c>
      <c r="Z25" s="40">
        <v>3</v>
      </c>
      <c r="AA25" s="12">
        <v>12</v>
      </c>
      <c r="AB25" s="13">
        <v>3</v>
      </c>
      <c r="AC25" s="53">
        <f t="shared" si="1"/>
        <v>62</v>
      </c>
    </row>
    <row r="26" spans="1:29" ht="30" customHeight="1" x14ac:dyDescent="0.25">
      <c r="A26" s="57">
        <v>23</v>
      </c>
      <c r="B26" s="58" t="s">
        <v>66</v>
      </c>
      <c r="C26" s="6" t="s">
        <v>58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33">
        <v>0</v>
      </c>
      <c r="M26" s="38">
        <v>0</v>
      </c>
      <c r="N26" s="12">
        <v>0</v>
      </c>
      <c r="O26" s="12">
        <v>0</v>
      </c>
      <c r="P26" s="53">
        <f t="shared" si="0"/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33">
        <v>0</v>
      </c>
      <c r="Z26" s="40">
        <v>0</v>
      </c>
      <c r="AA26" s="12">
        <v>0</v>
      </c>
      <c r="AB26" s="12">
        <v>0</v>
      </c>
      <c r="AC26" s="53">
        <f t="shared" si="1"/>
        <v>0</v>
      </c>
    </row>
    <row r="27" spans="1:29" ht="30" customHeight="1" x14ac:dyDescent="0.25">
      <c r="A27" s="57">
        <v>24</v>
      </c>
      <c r="B27" s="58" t="s">
        <v>66</v>
      </c>
      <c r="C27" s="6" t="s">
        <v>59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34">
        <v>0</v>
      </c>
      <c r="M27" s="38">
        <v>0</v>
      </c>
      <c r="N27" s="12">
        <v>0</v>
      </c>
      <c r="O27" s="12">
        <v>0</v>
      </c>
      <c r="P27" s="53">
        <f t="shared" si="0"/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34">
        <v>0</v>
      </c>
      <c r="Z27" s="40">
        <v>0</v>
      </c>
      <c r="AA27" s="12">
        <v>0</v>
      </c>
      <c r="AB27" s="12">
        <v>0</v>
      </c>
      <c r="AC27" s="53">
        <f t="shared" si="1"/>
        <v>0</v>
      </c>
    </row>
    <row r="28" spans="1:29" ht="30" customHeight="1" x14ac:dyDescent="0.25">
      <c r="A28" s="57">
        <v>25</v>
      </c>
      <c r="B28" s="58" t="s">
        <v>66</v>
      </c>
      <c r="C28" s="6" t="s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3">
        <v>0</v>
      </c>
      <c r="M28" s="39">
        <v>0</v>
      </c>
      <c r="N28" s="12">
        <v>0</v>
      </c>
      <c r="O28" s="12">
        <v>0</v>
      </c>
      <c r="P28" s="53">
        <f t="shared" si="0"/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33">
        <v>0</v>
      </c>
      <c r="Z28" s="40">
        <v>0</v>
      </c>
      <c r="AA28" s="12">
        <v>0</v>
      </c>
      <c r="AB28" s="12">
        <v>0</v>
      </c>
      <c r="AC28" s="53">
        <f t="shared" si="1"/>
        <v>0</v>
      </c>
    </row>
    <row r="29" spans="1:29" ht="30" customHeight="1" x14ac:dyDescent="0.25">
      <c r="A29" s="57">
        <v>26</v>
      </c>
      <c r="B29" s="58" t="s">
        <v>66</v>
      </c>
      <c r="C29" s="6" t="s">
        <v>61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3">
        <v>0</v>
      </c>
      <c r="M29" s="39">
        <v>0</v>
      </c>
      <c r="N29" s="12">
        <v>0</v>
      </c>
      <c r="O29" s="12">
        <v>0</v>
      </c>
      <c r="P29" s="53">
        <f t="shared" si="0"/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33">
        <v>0</v>
      </c>
      <c r="Z29" s="40">
        <v>0</v>
      </c>
      <c r="AA29" s="12">
        <v>0</v>
      </c>
      <c r="AB29" s="12">
        <v>0</v>
      </c>
      <c r="AC29" s="53">
        <f t="shared" si="1"/>
        <v>0</v>
      </c>
    </row>
    <row r="30" spans="1:29" ht="30" customHeight="1" x14ac:dyDescent="0.25">
      <c r="A30" s="57">
        <v>27</v>
      </c>
      <c r="B30" s="58" t="s">
        <v>66</v>
      </c>
      <c r="C30" s="6" t="s">
        <v>62</v>
      </c>
      <c r="D30" s="12">
        <f>4+2+14+1</f>
        <v>21</v>
      </c>
      <c r="E30" s="12">
        <f>2+8+16</f>
        <v>26</v>
      </c>
      <c r="F30" s="13">
        <f>2+51</f>
        <v>53</v>
      </c>
      <c r="G30" s="12">
        <f>2+6+8</f>
        <v>16</v>
      </c>
      <c r="H30" s="12">
        <f>1+10</f>
        <v>11</v>
      </c>
      <c r="I30" s="12">
        <f>35+3+7</f>
        <v>45</v>
      </c>
      <c r="J30" s="12">
        <f>1+5</f>
        <v>6</v>
      </c>
      <c r="K30" s="12">
        <f>3+11+21</f>
        <v>35</v>
      </c>
      <c r="L30" s="33">
        <v>5</v>
      </c>
      <c r="M30" s="38">
        <v>7</v>
      </c>
      <c r="N30" s="12">
        <v>7</v>
      </c>
      <c r="O30" s="13">
        <v>4</v>
      </c>
      <c r="P30" s="53">
        <f t="shared" si="0"/>
        <v>236</v>
      </c>
      <c r="Q30" s="12">
        <v>9</v>
      </c>
      <c r="R30" s="12">
        <v>8</v>
      </c>
      <c r="S30" s="13">
        <v>4</v>
      </c>
      <c r="T30" s="12">
        <v>3</v>
      </c>
      <c r="U30" s="12">
        <v>11</v>
      </c>
      <c r="V30" s="12">
        <v>7</v>
      </c>
      <c r="W30" s="12">
        <v>4</v>
      </c>
      <c r="X30" s="12">
        <v>6</v>
      </c>
      <c r="Y30" s="33">
        <v>9</v>
      </c>
      <c r="Z30" s="40">
        <v>8</v>
      </c>
      <c r="AA30" s="12">
        <v>5</v>
      </c>
      <c r="AB30" s="13">
        <v>5</v>
      </c>
      <c r="AC30" s="53">
        <f t="shared" si="1"/>
        <v>79</v>
      </c>
    </row>
    <row r="31" spans="1:29" ht="30" customHeight="1" x14ac:dyDescent="0.25">
      <c r="A31" s="57">
        <v>28</v>
      </c>
      <c r="B31" s="58" t="s">
        <v>66</v>
      </c>
      <c r="C31" s="6" t="s">
        <v>63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33">
        <v>0</v>
      </c>
      <c r="M31" s="39">
        <v>0</v>
      </c>
      <c r="N31" s="12">
        <v>0</v>
      </c>
      <c r="O31" s="13">
        <v>0</v>
      </c>
      <c r="P31" s="53">
        <f t="shared" si="0"/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33">
        <v>0</v>
      </c>
      <c r="Z31" s="40">
        <v>0</v>
      </c>
      <c r="AA31" s="12">
        <v>0</v>
      </c>
      <c r="AB31" s="13">
        <v>0</v>
      </c>
      <c r="AC31" s="53">
        <f t="shared" si="1"/>
        <v>0</v>
      </c>
    </row>
    <row r="32" spans="1:29" ht="30" customHeight="1" x14ac:dyDescent="0.25">
      <c r="A32" s="57">
        <v>29</v>
      </c>
      <c r="B32" s="58" t="s">
        <v>67</v>
      </c>
      <c r="C32" s="6" t="s">
        <v>68</v>
      </c>
      <c r="D32" s="12">
        <f>1+96</f>
        <v>97</v>
      </c>
      <c r="E32" s="12">
        <f>1+5</f>
        <v>6</v>
      </c>
      <c r="F32" s="13">
        <f>46+2</f>
        <v>48</v>
      </c>
      <c r="G32" s="12">
        <f>34</f>
        <v>34</v>
      </c>
      <c r="H32" s="12">
        <f>2+44</f>
        <v>46</v>
      </c>
      <c r="I32" s="12">
        <f>3+87</f>
        <v>90</v>
      </c>
      <c r="J32" s="12">
        <f>22+6</f>
        <v>28</v>
      </c>
      <c r="K32" s="12">
        <f>56+10</f>
        <v>66</v>
      </c>
      <c r="L32" s="33">
        <v>26</v>
      </c>
      <c r="M32" s="38">
        <v>37</v>
      </c>
      <c r="N32" s="12">
        <v>38</v>
      </c>
      <c r="O32" s="13">
        <v>61</v>
      </c>
      <c r="P32" s="53">
        <f t="shared" si="0"/>
        <v>577</v>
      </c>
      <c r="Q32" s="12">
        <v>52</v>
      </c>
      <c r="R32" s="12">
        <v>83</v>
      </c>
      <c r="S32" s="13">
        <v>104</v>
      </c>
      <c r="T32" s="12">
        <v>53</v>
      </c>
      <c r="U32" s="12">
        <v>79</v>
      </c>
      <c r="V32" s="12">
        <v>60</v>
      </c>
      <c r="W32" s="12">
        <v>39</v>
      </c>
      <c r="X32" s="12">
        <v>34</v>
      </c>
      <c r="Y32" s="33">
        <v>46</v>
      </c>
      <c r="Z32" s="40">
        <v>56</v>
      </c>
      <c r="AA32" s="12">
        <v>78</v>
      </c>
      <c r="AB32" s="13">
        <v>70</v>
      </c>
      <c r="AC32" s="53">
        <f t="shared" si="1"/>
        <v>754</v>
      </c>
    </row>
    <row r="33" spans="1:29" ht="30" customHeight="1" x14ac:dyDescent="0.25">
      <c r="A33" s="57">
        <v>30</v>
      </c>
      <c r="B33" s="58" t="s">
        <v>67</v>
      </c>
      <c r="C33" s="6" t="s">
        <v>69</v>
      </c>
      <c r="D33" s="12">
        <f>15</f>
        <v>15</v>
      </c>
      <c r="E33" s="12">
        <f>10</f>
        <v>10</v>
      </c>
      <c r="F33" s="13">
        <f>60</f>
        <v>60</v>
      </c>
      <c r="G33" s="12">
        <v>30</v>
      </c>
      <c r="H33" s="12">
        <f>44</f>
        <v>44</v>
      </c>
      <c r="I33" s="12">
        <f>33</f>
        <v>33</v>
      </c>
      <c r="J33" s="12">
        <f>29</f>
        <v>29</v>
      </c>
      <c r="K33" s="12">
        <v>20</v>
      </c>
      <c r="L33" s="33">
        <v>4</v>
      </c>
      <c r="M33" s="38">
        <v>13</v>
      </c>
      <c r="N33" s="12">
        <v>11</v>
      </c>
      <c r="O33" s="13">
        <v>26</v>
      </c>
      <c r="P33" s="53">
        <f t="shared" si="0"/>
        <v>295</v>
      </c>
      <c r="Q33" s="12">
        <v>10</v>
      </c>
      <c r="R33" s="12">
        <v>5</v>
      </c>
      <c r="S33" s="13">
        <v>20</v>
      </c>
      <c r="T33" s="12">
        <v>27</v>
      </c>
      <c r="U33" s="12">
        <v>60</v>
      </c>
      <c r="V33" s="12">
        <v>53</v>
      </c>
      <c r="W33" s="12">
        <v>33</v>
      </c>
      <c r="X33" s="12">
        <v>34</v>
      </c>
      <c r="Y33" s="33">
        <v>23</v>
      </c>
      <c r="Z33" s="40">
        <v>20</v>
      </c>
      <c r="AA33" s="12">
        <v>12</v>
      </c>
      <c r="AB33" s="13">
        <v>7</v>
      </c>
      <c r="AC33" s="53">
        <f t="shared" si="1"/>
        <v>304</v>
      </c>
    </row>
    <row r="34" spans="1:29" ht="30" customHeight="1" x14ac:dyDescent="0.25">
      <c r="A34" s="57">
        <v>31</v>
      </c>
      <c r="B34" s="58" t="s">
        <v>67</v>
      </c>
      <c r="C34" s="6" t="s">
        <v>70</v>
      </c>
      <c r="D34" s="12">
        <f>2+11+10+83+9+9</f>
        <v>124</v>
      </c>
      <c r="E34" s="12">
        <f>7+11+13+34+49+16</f>
        <v>130</v>
      </c>
      <c r="F34" s="13">
        <f>8+11+13+34+20+35</f>
        <v>121</v>
      </c>
      <c r="G34" s="12">
        <f>3+5+9+30+18+14+1</f>
        <v>80</v>
      </c>
      <c r="H34" s="12">
        <f>2+6+14+23+143+24</f>
        <v>212</v>
      </c>
      <c r="I34" s="12">
        <f>28+21+39+12+1+8</f>
        <v>109</v>
      </c>
      <c r="J34" s="12">
        <f>3+5+39+4+3+47+1</f>
        <v>102</v>
      </c>
      <c r="K34" s="12">
        <f>6+6+12+3+78+37</f>
        <v>142</v>
      </c>
      <c r="L34" s="33">
        <v>154</v>
      </c>
      <c r="M34" s="38">
        <v>135</v>
      </c>
      <c r="N34" s="12">
        <v>155</v>
      </c>
      <c r="O34" s="13">
        <v>61</v>
      </c>
      <c r="P34" s="53">
        <f t="shared" si="0"/>
        <v>1525</v>
      </c>
      <c r="Q34" s="12">
        <v>258</v>
      </c>
      <c r="R34" s="12">
        <v>205</v>
      </c>
      <c r="S34" s="13">
        <v>157</v>
      </c>
      <c r="T34" s="12">
        <v>169</v>
      </c>
      <c r="U34" s="12">
        <v>152</v>
      </c>
      <c r="V34" s="12">
        <v>173</v>
      </c>
      <c r="W34" s="12">
        <v>246</v>
      </c>
      <c r="X34" s="12">
        <v>190</v>
      </c>
      <c r="Y34" s="33">
        <v>764</v>
      </c>
      <c r="Z34" s="40">
        <v>271</v>
      </c>
      <c r="AA34" s="12">
        <v>131</v>
      </c>
      <c r="AB34" s="13">
        <v>96</v>
      </c>
      <c r="AC34" s="53">
        <f t="shared" si="1"/>
        <v>2812</v>
      </c>
    </row>
    <row r="35" spans="1:29" ht="30" customHeight="1" x14ac:dyDescent="0.25">
      <c r="A35" s="57">
        <v>32</v>
      </c>
      <c r="B35" s="103" t="s">
        <v>76</v>
      </c>
      <c r="C35" s="6" t="s">
        <v>77</v>
      </c>
      <c r="D35" s="12">
        <v>3</v>
      </c>
      <c r="E35" s="12">
        <v>0</v>
      </c>
      <c r="F35" s="14">
        <v>1</v>
      </c>
      <c r="G35" s="14">
        <v>5</v>
      </c>
      <c r="H35" s="12">
        <v>2</v>
      </c>
      <c r="I35" s="12">
        <v>0</v>
      </c>
      <c r="J35" s="12">
        <v>1</v>
      </c>
      <c r="K35" s="12">
        <v>3</v>
      </c>
      <c r="L35" s="34">
        <v>7</v>
      </c>
      <c r="M35" s="38">
        <v>4</v>
      </c>
      <c r="N35" s="13">
        <v>2</v>
      </c>
      <c r="O35" s="13">
        <v>6</v>
      </c>
      <c r="P35" s="53">
        <f t="shared" si="0"/>
        <v>34</v>
      </c>
      <c r="Q35" s="12">
        <v>7</v>
      </c>
      <c r="R35" s="12">
        <v>5</v>
      </c>
      <c r="S35" s="14">
        <v>10</v>
      </c>
      <c r="T35" s="14">
        <v>2</v>
      </c>
      <c r="U35" s="12">
        <v>5</v>
      </c>
      <c r="V35" s="12">
        <v>4</v>
      </c>
      <c r="W35" s="12">
        <v>10</v>
      </c>
      <c r="X35" s="12">
        <v>5</v>
      </c>
      <c r="Y35" s="34">
        <v>0</v>
      </c>
      <c r="Z35" s="40">
        <v>2</v>
      </c>
      <c r="AA35" s="13">
        <v>2</v>
      </c>
      <c r="AB35" s="13">
        <v>8</v>
      </c>
      <c r="AC35" s="53">
        <f t="shared" si="1"/>
        <v>60</v>
      </c>
    </row>
    <row r="36" spans="1:29" ht="30" customHeight="1" x14ac:dyDescent="0.25">
      <c r="A36" s="57">
        <v>33</v>
      </c>
      <c r="B36" s="104"/>
      <c r="C36" s="6" t="s">
        <v>78</v>
      </c>
      <c r="D36" s="12">
        <v>0</v>
      </c>
      <c r="E36" s="12">
        <v>1</v>
      </c>
      <c r="F36" s="12">
        <v>2</v>
      </c>
      <c r="G36" s="14">
        <v>0</v>
      </c>
      <c r="H36" s="12">
        <v>0</v>
      </c>
      <c r="I36" s="12">
        <v>1</v>
      </c>
      <c r="J36" s="14">
        <v>2</v>
      </c>
      <c r="K36" s="12">
        <v>1</v>
      </c>
      <c r="L36" s="33">
        <v>3</v>
      </c>
      <c r="M36" s="38">
        <v>1</v>
      </c>
      <c r="N36" s="13">
        <v>0</v>
      </c>
      <c r="O36" s="13">
        <v>3</v>
      </c>
      <c r="P36" s="53">
        <f t="shared" si="0"/>
        <v>14</v>
      </c>
      <c r="Q36" s="12">
        <v>3</v>
      </c>
      <c r="R36" s="12">
        <v>0</v>
      </c>
      <c r="S36" s="12">
        <v>1</v>
      </c>
      <c r="T36" s="14">
        <v>1</v>
      </c>
      <c r="U36" s="12">
        <v>3</v>
      </c>
      <c r="V36" s="12">
        <v>2</v>
      </c>
      <c r="W36" s="14">
        <v>8</v>
      </c>
      <c r="X36" s="12">
        <v>2</v>
      </c>
      <c r="Y36" s="33">
        <v>0</v>
      </c>
      <c r="Z36" s="40">
        <v>2</v>
      </c>
      <c r="AA36" s="13">
        <v>1</v>
      </c>
      <c r="AB36" s="13">
        <v>5</v>
      </c>
      <c r="AC36" s="53">
        <f t="shared" si="1"/>
        <v>28</v>
      </c>
    </row>
    <row r="37" spans="1:29" ht="30" customHeight="1" x14ac:dyDescent="0.25">
      <c r="A37" s="57">
        <v>34</v>
      </c>
      <c r="B37" s="58" t="s">
        <v>79</v>
      </c>
      <c r="C37" s="6" t="s">
        <v>80</v>
      </c>
      <c r="D37" s="12">
        <f>1+6+29</f>
        <v>36</v>
      </c>
      <c r="E37" s="12">
        <f>6+19</f>
        <v>25</v>
      </c>
      <c r="F37" s="12">
        <f>1+4+38</f>
        <v>43</v>
      </c>
      <c r="G37" s="12">
        <f>18+6</f>
        <v>24</v>
      </c>
      <c r="H37" s="12">
        <f>4+21</f>
        <v>25</v>
      </c>
      <c r="I37" s="12">
        <f>2+22</f>
        <v>24</v>
      </c>
      <c r="J37" s="12">
        <f>5+14</f>
        <v>19</v>
      </c>
      <c r="K37" s="12">
        <f>6+22</f>
        <v>28</v>
      </c>
      <c r="L37" s="33">
        <v>20</v>
      </c>
      <c r="M37" s="38">
        <v>43</v>
      </c>
      <c r="N37" s="13">
        <v>54</v>
      </c>
      <c r="O37" s="13">
        <v>55</v>
      </c>
      <c r="P37" s="53">
        <f t="shared" si="0"/>
        <v>396</v>
      </c>
      <c r="Q37" s="12">
        <v>63</v>
      </c>
      <c r="R37" s="12">
        <v>38</v>
      </c>
      <c r="S37" s="12">
        <v>39</v>
      </c>
      <c r="T37" s="12">
        <v>26</v>
      </c>
      <c r="U37" s="12">
        <v>24</v>
      </c>
      <c r="V37" s="12">
        <v>25</v>
      </c>
      <c r="W37" s="12">
        <v>23</v>
      </c>
      <c r="X37" s="12">
        <v>23</v>
      </c>
      <c r="Y37" s="33">
        <v>22</v>
      </c>
      <c r="Z37" s="40">
        <v>29</v>
      </c>
      <c r="AA37" s="13">
        <v>21</v>
      </c>
      <c r="AB37" s="13">
        <v>14</v>
      </c>
      <c r="AC37" s="53">
        <f t="shared" si="1"/>
        <v>347</v>
      </c>
    </row>
    <row r="38" spans="1:29" ht="30" customHeight="1" x14ac:dyDescent="0.25">
      <c r="A38" s="57">
        <v>35</v>
      </c>
      <c r="B38" s="58" t="s">
        <v>79</v>
      </c>
      <c r="C38" s="6" t="s">
        <v>81</v>
      </c>
      <c r="D38" s="12">
        <f>6+26</f>
        <v>32</v>
      </c>
      <c r="E38" s="12">
        <f>5+5</f>
        <v>10</v>
      </c>
      <c r="F38" s="12">
        <f>3+7</f>
        <v>10</v>
      </c>
      <c r="G38" s="12">
        <f>19+6</f>
        <v>25</v>
      </c>
      <c r="H38" s="12">
        <f>6+25</f>
        <v>31</v>
      </c>
      <c r="I38" s="12">
        <f>2+18</f>
        <v>20</v>
      </c>
      <c r="J38" s="12">
        <f>3+23</f>
        <v>26</v>
      </c>
      <c r="K38" s="12">
        <f>1+13</f>
        <v>14</v>
      </c>
      <c r="L38" s="33">
        <v>28</v>
      </c>
      <c r="M38" s="38">
        <v>20</v>
      </c>
      <c r="N38" s="13">
        <v>13</v>
      </c>
      <c r="O38" s="13">
        <v>20</v>
      </c>
      <c r="P38" s="53">
        <f t="shared" si="0"/>
        <v>249</v>
      </c>
      <c r="Q38" s="12">
        <v>21</v>
      </c>
      <c r="R38" s="12">
        <v>29</v>
      </c>
      <c r="S38" s="12">
        <v>30</v>
      </c>
      <c r="T38" s="12">
        <v>29</v>
      </c>
      <c r="U38" s="12">
        <v>52</v>
      </c>
      <c r="V38" s="12">
        <v>15</v>
      </c>
      <c r="W38" s="12">
        <v>2</v>
      </c>
      <c r="X38" s="12">
        <v>0</v>
      </c>
      <c r="Y38" s="33">
        <v>1</v>
      </c>
      <c r="Z38" s="40">
        <v>11</v>
      </c>
      <c r="AA38" s="13">
        <v>3</v>
      </c>
      <c r="AB38" s="13">
        <v>5</v>
      </c>
      <c r="AC38" s="53">
        <f t="shared" si="1"/>
        <v>198</v>
      </c>
    </row>
    <row r="39" spans="1:29" ht="30" customHeight="1" x14ac:dyDescent="0.25">
      <c r="A39" s="57">
        <v>36</v>
      </c>
      <c r="B39" s="58" t="s">
        <v>79</v>
      </c>
      <c r="C39" s="6" t="s">
        <v>82</v>
      </c>
      <c r="D39" s="12">
        <f>6+22</f>
        <v>28</v>
      </c>
      <c r="E39" s="12">
        <f>2+4</f>
        <v>6</v>
      </c>
      <c r="F39" s="12">
        <f>2+6</f>
        <v>8</v>
      </c>
      <c r="G39" s="12">
        <f>15+6</f>
        <v>21</v>
      </c>
      <c r="H39" s="12">
        <f>6+19</f>
        <v>25</v>
      </c>
      <c r="I39" s="12">
        <f>2+6</f>
        <v>8</v>
      </c>
      <c r="J39" s="12">
        <f>3+19</f>
        <v>22</v>
      </c>
      <c r="K39" s="12">
        <f>1+12</f>
        <v>13</v>
      </c>
      <c r="L39" s="33">
        <v>20</v>
      </c>
      <c r="M39" s="38">
        <v>11</v>
      </c>
      <c r="N39" s="13">
        <v>8</v>
      </c>
      <c r="O39" s="13">
        <v>10</v>
      </c>
      <c r="P39" s="53">
        <f t="shared" si="0"/>
        <v>180</v>
      </c>
      <c r="Q39" s="12">
        <v>16</v>
      </c>
      <c r="R39" s="12">
        <v>27</v>
      </c>
      <c r="S39" s="12">
        <v>17</v>
      </c>
      <c r="T39" s="12">
        <v>24</v>
      </c>
      <c r="U39" s="12">
        <v>37</v>
      </c>
      <c r="V39" s="12">
        <v>10</v>
      </c>
      <c r="W39" s="12">
        <v>1</v>
      </c>
      <c r="X39" s="12">
        <v>0</v>
      </c>
      <c r="Y39" s="33">
        <v>1</v>
      </c>
      <c r="Z39" s="40">
        <v>9</v>
      </c>
      <c r="AA39" s="13">
        <v>2</v>
      </c>
      <c r="AB39" s="13">
        <v>5</v>
      </c>
      <c r="AC39" s="53">
        <f t="shared" si="1"/>
        <v>149</v>
      </c>
    </row>
    <row r="40" spans="1:29" ht="30" customHeight="1" x14ac:dyDescent="0.25">
      <c r="A40" s="57">
        <v>37</v>
      </c>
      <c r="B40" s="58" t="s">
        <v>79</v>
      </c>
      <c r="C40" s="6" t="s">
        <v>83</v>
      </c>
      <c r="D40" s="12">
        <f>4</f>
        <v>4</v>
      </c>
      <c r="E40" s="12">
        <f>3+1</f>
        <v>4</v>
      </c>
      <c r="F40" s="12">
        <f>1+1</f>
        <v>2</v>
      </c>
      <c r="G40" s="12">
        <f>4</f>
        <v>4</v>
      </c>
      <c r="H40" s="12">
        <f>6</f>
        <v>6</v>
      </c>
      <c r="I40" s="12">
        <f>12</f>
        <v>12</v>
      </c>
      <c r="J40" s="12">
        <f>4</f>
        <v>4</v>
      </c>
      <c r="K40" s="12">
        <f>1</f>
        <v>1</v>
      </c>
      <c r="L40" s="33">
        <v>8</v>
      </c>
      <c r="M40" s="38">
        <v>9</v>
      </c>
      <c r="N40" s="13">
        <v>5</v>
      </c>
      <c r="O40" s="13">
        <v>10</v>
      </c>
      <c r="P40" s="53">
        <f t="shared" si="0"/>
        <v>69</v>
      </c>
      <c r="Q40" s="12">
        <v>5</v>
      </c>
      <c r="R40" s="12">
        <v>2</v>
      </c>
      <c r="S40" s="12">
        <v>13</v>
      </c>
      <c r="T40" s="12">
        <v>5</v>
      </c>
      <c r="U40" s="12">
        <v>15</v>
      </c>
      <c r="V40" s="12">
        <v>5</v>
      </c>
      <c r="W40" s="12">
        <v>1</v>
      </c>
      <c r="X40" s="12">
        <v>0</v>
      </c>
      <c r="Y40" s="33">
        <v>0</v>
      </c>
      <c r="Z40" s="40">
        <v>2</v>
      </c>
      <c r="AA40" s="13">
        <v>1</v>
      </c>
      <c r="AB40" s="13">
        <v>0</v>
      </c>
      <c r="AC40" s="53">
        <f t="shared" si="1"/>
        <v>49</v>
      </c>
    </row>
  </sheetData>
  <mergeCells count="5">
    <mergeCell ref="D1:O1"/>
    <mergeCell ref="D2:O2"/>
    <mergeCell ref="B35:B36"/>
    <mergeCell ref="Q1:AB1"/>
    <mergeCell ref="Q2:AB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"/>
  <sheetViews>
    <sheetView showGridLines="0" zoomScale="80" zoomScaleNormal="80" workbookViewId="0">
      <pane ySplit="3" topLeftCell="A4" activePane="bottomLeft" state="frozen"/>
      <selection pane="bottomLeft" activeCell="AA4" sqref="AA4"/>
    </sheetView>
  </sheetViews>
  <sheetFormatPr baseColWidth="10" defaultRowHeight="15" x14ac:dyDescent="0.25"/>
  <cols>
    <col min="1" max="1" width="5.5703125" customWidth="1"/>
    <col min="2" max="2" width="34.140625" customWidth="1"/>
    <col min="3" max="14" width="15.42578125" hidden="1" customWidth="1"/>
  </cols>
  <sheetData>
    <row r="1" spans="1:28" s="4" customFormat="1" ht="29.25" customHeight="1" x14ac:dyDescent="0.25">
      <c r="C1" s="99" t="s">
        <v>91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 t="s">
        <v>91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8" s="4" customFormat="1" ht="29.25" customHeight="1" x14ac:dyDescent="0.25">
      <c r="C2" s="100" t="s"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 t="s">
        <v>107</v>
      </c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8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0" t="s">
        <v>108</v>
      </c>
      <c r="P3" s="51" t="s">
        <v>110</v>
      </c>
      <c r="Q3" s="51" t="s">
        <v>111</v>
      </c>
      <c r="R3" s="51" t="s">
        <v>112</v>
      </c>
      <c r="S3" s="51" t="s">
        <v>113</v>
      </c>
      <c r="T3" s="51" t="s">
        <v>114</v>
      </c>
      <c r="U3" s="51" t="s">
        <v>115</v>
      </c>
      <c r="V3" s="51" t="s">
        <v>116</v>
      </c>
      <c r="W3" s="51" t="s">
        <v>117</v>
      </c>
      <c r="X3" s="51" t="s">
        <v>118</v>
      </c>
      <c r="Y3" s="51" t="s">
        <v>119</v>
      </c>
      <c r="Z3" s="51" t="s">
        <v>120</v>
      </c>
      <c r="AA3" s="51" t="s">
        <v>121</v>
      </c>
      <c r="AB3" s="52" t="s">
        <v>109</v>
      </c>
    </row>
    <row r="4" spans="1:28" ht="54.75" customHeight="1" x14ac:dyDescent="0.25">
      <c r="A4" s="5">
        <v>1</v>
      </c>
      <c r="B4" s="6" t="s">
        <v>84</v>
      </c>
      <c r="C4" s="12">
        <v>2</v>
      </c>
      <c r="D4" s="12">
        <v>6</v>
      </c>
      <c r="E4" s="12">
        <v>0</v>
      </c>
      <c r="F4" s="12">
        <v>11</v>
      </c>
      <c r="G4" s="27">
        <v>9</v>
      </c>
      <c r="H4" s="27">
        <v>1</v>
      </c>
      <c r="I4" s="27">
        <v>6</v>
      </c>
      <c r="J4" s="27">
        <v>4</v>
      </c>
      <c r="K4" s="12">
        <v>10</v>
      </c>
      <c r="L4" s="40">
        <v>0</v>
      </c>
      <c r="M4" s="12">
        <v>1</v>
      </c>
      <c r="N4" s="12">
        <v>4</v>
      </c>
      <c r="O4" s="53">
        <f>SUM(C4:N4)</f>
        <v>54</v>
      </c>
      <c r="P4" s="12">
        <v>0</v>
      </c>
      <c r="Q4" s="12">
        <v>6</v>
      </c>
      <c r="R4" s="12">
        <v>0</v>
      </c>
      <c r="S4" s="12">
        <v>2</v>
      </c>
      <c r="T4" s="27">
        <v>0</v>
      </c>
      <c r="U4" s="27">
        <v>4</v>
      </c>
      <c r="V4" s="27">
        <v>0</v>
      </c>
      <c r="W4" s="27">
        <v>3</v>
      </c>
      <c r="X4" s="12">
        <v>1</v>
      </c>
      <c r="Y4" s="40">
        <v>5</v>
      </c>
      <c r="Z4" s="12">
        <v>0</v>
      </c>
      <c r="AA4" s="12">
        <v>7</v>
      </c>
      <c r="AB4" s="90">
        <f>SUM(P4:AA4)</f>
        <v>28</v>
      </c>
    </row>
  </sheetData>
  <mergeCells count="4">
    <mergeCell ref="C1:N1"/>
    <mergeCell ref="C2:N2"/>
    <mergeCell ref="O1:Z1"/>
    <mergeCell ref="O2:Z2"/>
  </mergeCells>
  <pageMargins left="0.25" right="0.25" top="0.75" bottom="0.75" header="0.3" footer="0.3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showGridLines="0" topLeftCell="C1" zoomScaleNormal="100" workbookViewId="0">
      <pane ySplit="3" topLeftCell="A19" activePane="bottomLeft" state="frozen"/>
      <selection pane="bottomLeft" activeCell="AB22" sqref="AB22"/>
    </sheetView>
  </sheetViews>
  <sheetFormatPr baseColWidth="10" defaultRowHeight="15" x14ac:dyDescent="0.25"/>
  <cols>
    <col min="1" max="1" width="5.5703125" customWidth="1"/>
    <col min="2" max="2" width="16.7109375" customWidth="1"/>
    <col min="3" max="3" width="50" customWidth="1"/>
    <col min="4" max="14" width="15.42578125" hidden="1" customWidth="1"/>
    <col min="15" max="15" width="10.85546875" hidden="1" customWidth="1"/>
    <col min="16" max="16" width="18.42578125" customWidth="1"/>
    <col min="17" max="28" width="15.42578125" bestFit="1" customWidth="1"/>
    <col min="29" max="29" width="18.42578125" customWidth="1"/>
  </cols>
  <sheetData>
    <row r="1" spans="1:29" s="4" customFormat="1" ht="29.25" customHeight="1" x14ac:dyDescent="0.25">
      <c r="D1" s="99" t="s">
        <v>42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Q1" s="99" t="s">
        <v>42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23"/>
    </row>
    <row r="2" spans="1:29" s="4" customFormat="1" ht="29.25" customHeight="1" x14ac:dyDescent="0.25">
      <c r="D2" s="100" t="s"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0" t="s">
        <v>107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23"/>
    </row>
    <row r="3" spans="1:29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0" t="s">
        <v>108</v>
      </c>
      <c r="Q3" s="51" t="s">
        <v>110</v>
      </c>
      <c r="R3" s="51" t="s">
        <v>111</v>
      </c>
      <c r="S3" s="51" t="s">
        <v>112</v>
      </c>
      <c r="T3" s="51" t="s">
        <v>113</v>
      </c>
      <c r="U3" s="51" t="s">
        <v>114</v>
      </c>
      <c r="V3" s="51" t="s">
        <v>115</v>
      </c>
      <c r="W3" s="51" t="s">
        <v>116</v>
      </c>
      <c r="X3" s="51" t="s">
        <v>117</v>
      </c>
      <c r="Y3" s="51" t="s">
        <v>118</v>
      </c>
      <c r="Z3" s="51" t="s">
        <v>119</v>
      </c>
      <c r="AA3" s="51" t="s">
        <v>120</v>
      </c>
      <c r="AB3" s="51" t="s">
        <v>121</v>
      </c>
      <c r="AC3" s="52" t="s">
        <v>109</v>
      </c>
    </row>
    <row r="4" spans="1:29" ht="78" customHeight="1" x14ac:dyDescent="0.25">
      <c r="A4" s="5">
        <v>1</v>
      </c>
      <c r="B4" s="7" t="s">
        <v>41</v>
      </c>
      <c r="C4" s="6" t="s">
        <v>16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28">
        <v>0</v>
      </c>
      <c r="K4" s="29">
        <v>0</v>
      </c>
      <c r="L4" s="35">
        <v>0</v>
      </c>
      <c r="M4" s="28">
        <v>0</v>
      </c>
      <c r="N4" s="35">
        <v>0</v>
      </c>
      <c r="O4" s="35">
        <v>0</v>
      </c>
      <c r="P4" s="53">
        <f>SUM(D4:O4)</f>
        <v>0</v>
      </c>
      <c r="Q4" s="44">
        <v>259</v>
      </c>
      <c r="R4" s="44">
        <v>230</v>
      </c>
      <c r="S4" s="44">
        <v>220</v>
      </c>
      <c r="T4" s="86">
        <v>124</v>
      </c>
      <c r="U4" s="86">
        <v>41</v>
      </c>
      <c r="V4" s="86">
        <v>39</v>
      </c>
      <c r="W4" s="28">
        <v>95</v>
      </c>
      <c r="X4" s="29">
        <v>24</v>
      </c>
      <c r="Y4" s="86">
        <v>82</v>
      </c>
      <c r="Z4" s="28">
        <v>13</v>
      </c>
      <c r="AA4" s="94">
        <v>40</v>
      </c>
      <c r="AB4" s="98">
        <v>0</v>
      </c>
      <c r="AC4" s="53">
        <f>SUM(Q4:AB4)</f>
        <v>1167</v>
      </c>
    </row>
    <row r="5" spans="1:29" ht="78" customHeight="1" x14ac:dyDescent="0.25">
      <c r="A5" s="5">
        <v>2</v>
      </c>
      <c r="B5" s="7" t="s">
        <v>41</v>
      </c>
      <c r="C5" s="6" t="s">
        <v>17</v>
      </c>
      <c r="D5" s="35">
        <v>0</v>
      </c>
      <c r="E5" s="35">
        <v>22</v>
      </c>
      <c r="F5" s="35">
        <v>20</v>
      </c>
      <c r="G5" s="35">
        <v>78</v>
      </c>
      <c r="H5" s="35">
        <v>77</v>
      </c>
      <c r="I5" s="35">
        <v>100</v>
      </c>
      <c r="J5" s="28">
        <v>10</v>
      </c>
      <c r="K5" s="29">
        <v>84</v>
      </c>
      <c r="L5" s="35">
        <v>224</v>
      </c>
      <c r="M5" s="28"/>
      <c r="N5" s="35">
        <v>438</v>
      </c>
      <c r="O5" s="35">
        <v>182</v>
      </c>
      <c r="P5" s="53">
        <f>SUM(D5:O5)</f>
        <v>1235</v>
      </c>
      <c r="Q5" s="44">
        <v>79</v>
      </c>
      <c r="R5" s="44">
        <v>242</v>
      </c>
      <c r="S5" s="44">
        <v>369</v>
      </c>
      <c r="T5" s="86">
        <v>79</v>
      </c>
      <c r="U5" s="86">
        <v>407</v>
      </c>
      <c r="V5" s="86">
        <v>221</v>
      </c>
      <c r="W5" s="28">
        <v>82</v>
      </c>
      <c r="X5" s="29">
        <v>293</v>
      </c>
      <c r="Y5" s="86">
        <v>292</v>
      </c>
      <c r="Z5" s="28">
        <v>617</v>
      </c>
      <c r="AA5" s="94">
        <v>398</v>
      </c>
      <c r="AB5" s="98">
        <v>234</v>
      </c>
      <c r="AC5" s="53">
        <f>SUM(Q5:AB5)</f>
        <v>3313</v>
      </c>
    </row>
    <row r="6" spans="1:29" ht="30" customHeight="1" x14ac:dyDescent="0.25">
      <c r="A6" s="5">
        <v>3</v>
      </c>
      <c r="B6" s="7" t="s">
        <v>41</v>
      </c>
      <c r="C6" s="6" t="s">
        <v>18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28">
        <v>0</v>
      </c>
      <c r="K6" s="29">
        <v>0</v>
      </c>
      <c r="L6" s="35">
        <v>0</v>
      </c>
      <c r="M6" s="28">
        <v>0</v>
      </c>
      <c r="N6" s="35">
        <v>0</v>
      </c>
      <c r="O6" s="35">
        <v>0</v>
      </c>
      <c r="P6" s="53">
        <f>SUM(D6:O6)</f>
        <v>0</v>
      </c>
      <c r="Q6" s="44">
        <v>0</v>
      </c>
      <c r="R6" s="44">
        <v>0</v>
      </c>
      <c r="S6" s="44">
        <v>0</v>
      </c>
      <c r="T6" s="86">
        <v>0</v>
      </c>
      <c r="U6" s="86">
        <v>0</v>
      </c>
      <c r="V6" s="86">
        <v>39</v>
      </c>
      <c r="W6" s="28">
        <v>12</v>
      </c>
      <c r="X6" s="29">
        <v>8</v>
      </c>
      <c r="Y6" s="86">
        <v>5</v>
      </c>
      <c r="Z6" s="28">
        <v>21</v>
      </c>
      <c r="AA6" s="94">
        <v>62</v>
      </c>
      <c r="AB6" s="98">
        <v>32</v>
      </c>
      <c r="AC6" s="53">
        <f>SUM(Q6:AB6)</f>
        <v>179</v>
      </c>
    </row>
    <row r="7" spans="1:29" ht="30" customHeight="1" x14ac:dyDescent="0.25">
      <c r="A7" s="5">
        <v>4</v>
      </c>
      <c r="B7" s="7" t="s">
        <v>19</v>
      </c>
      <c r="C7" s="6" t="s">
        <v>20</v>
      </c>
      <c r="D7" s="35">
        <v>155</v>
      </c>
      <c r="E7" s="35">
        <v>140</v>
      </c>
      <c r="F7" s="35">
        <v>155</v>
      </c>
      <c r="G7" s="35">
        <v>150</v>
      </c>
      <c r="H7" s="35">
        <v>155</v>
      </c>
      <c r="I7" s="35">
        <v>150</v>
      </c>
      <c r="J7" s="28">
        <v>67</v>
      </c>
      <c r="K7" s="29">
        <v>831</v>
      </c>
      <c r="L7" s="35">
        <v>334</v>
      </c>
      <c r="M7" s="28">
        <v>339</v>
      </c>
      <c r="N7" s="35">
        <v>357</v>
      </c>
      <c r="O7" s="35">
        <v>408</v>
      </c>
      <c r="P7" s="53">
        <f>SUM(D7:O7)</f>
        <v>3241</v>
      </c>
      <c r="Q7" s="44">
        <v>120</v>
      </c>
      <c r="R7" s="44">
        <v>771</v>
      </c>
      <c r="S7" s="44">
        <v>441</v>
      </c>
      <c r="T7" s="86">
        <v>1387</v>
      </c>
      <c r="U7" s="86">
        <v>999</v>
      </c>
      <c r="V7" s="86">
        <v>1575</v>
      </c>
      <c r="W7" s="28">
        <v>0</v>
      </c>
      <c r="X7" s="29">
        <v>0</v>
      </c>
      <c r="Y7" s="86">
        <v>0</v>
      </c>
      <c r="Z7" s="28">
        <v>2</v>
      </c>
      <c r="AA7" s="94">
        <v>1</v>
      </c>
      <c r="AB7" s="98">
        <v>1</v>
      </c>
      <c r="AC7" s="53">
        <f>SUM(Q7:AB7)</f>
        <v>5297</v>
      </c>
    </row>
    <row r="8" spans="1:29" ht="30" customHeight="1" x14ac:dyDescent="0.25">
      <c r="A8" s="5">
        <v>5</v>
      </c>
      <c r="B8" s="7" t="s">
        <v>19</v>
      </c>
      <c r="C8" s="6" t="s">
        <v>21</v>
      </c>
      <c r="D8" s="35">
        <v>31</v>
      </c>
      <c r="E8" s="35">
        <v>28</v>
      </c>
      <c r="F8" s="35">
        <v>31</v>
      </c>
      <c r="G8" s="35">
        <v>30</v>
      </c>
      <c r="H8" s="35">
        <v>31</v>
      </c>
      <c r="I8" s="35">
        <v>30</v>
      </c>
      <c r="J8" s="28">
        <v>17</v>
      </c>
      <c r="K8" s="29">
        <v>84</v>
      </c>
      <c r="L8" s="35"/>
      <c r="M8" s="28">
        <v>69</v>
      </c>
      <c r="N8" s="35">
        <v>103</v>
      </c>
      <c r="O8" s="35">
        <v>58</v>
      </c>
      <c r="P8" s="53">
        <f t="shared" ref="P8:P24" si="0">SUM(D8:O8)</f>
        <v>512</v>
      </c>
      <c r="Q8" s="44">
        <v>71</v>
      </c>
      <c r="R8" s="44">
        <v>432</v>
      </c>
      <c r="S8" s="44">
        <v>74</v>
      </c>
      <c r="T8" s="86">
        <v>40</v>
      </c>
      <c r="U8" s="86">
        <v>64</v>
      </c>
      <c r="V8" s="86">
        <v>93</v>
      </c>
      <c r="W8" s="28">
        <v>7</v>
      </c>
      <c r="X8" s="29">
        <v>1</v>
      </c>
      <c r="Y8" s="86">
        <v>2</v>
      </c>
      <c r="Z8" s="28">
        <v>0</v>
      </c>
      <c r="AA8" s="94">
        <v>0</v>
      </c>
      <c r="AB8" s="98">
        <v>2</v>
      </c>
      <c r="AC8" s="53">
        <f t="shared" ref="AC8:AC15" si="1">SUM(Q8:AB8)</f>
        <v>786</v>
      </c>
    </row>
    <row r="9" spans="1:29" ht="30" customHeight="1" x14ac:dyDescent="0.25">
      <c r="A9" s="5">
        <v>6</v>
      </c>
      <c r="B9" s="7" t="s">
        <v>19</v>
      </c>
      <c r="C9" s="6" t="s">
        <v>22</v>
      </c>
      <c r="D9" s="35">
        <f t="shared" ref="D9:I9" si="2">SUM(D7:D8)</f>
        <v>186</v>
      </c>
      <c r="E9" s="35">
        <f t="shared" si="2"/>
        <v>168</v>
      </c>
      <c r="F9" s="35">
        <f t="shared" si="2"/>
        <v>186</v>
      </c>
      <c r="G9" s="35">
        <f t="shared" si="2"/>
        <v>180</v>
      </c>
      <c r="H9" s="35">
        <f t="shared" si="2"/>
        <v>186</v>
      </c>
      <c r="I9" s="35">
        <f t="shared" si="2"/>
        <v>180</v>
      </c>
      <c r="J9" s="28">
        <v>84</v>
      </c>
      <c r="K9" s="29">
        <v>915</v>
      </c>
      <c r="L9" s="35">
        <v>334</v>
      </c>
      <c r="M9" s="28">
        <v>408</v>
      </c>
      <c r="N9" s="35">
        <v>460</v>
      </c>
      <c r="O9" s="35">
        <v>466</v>
      </c>
      <c r="P9" s="53">
        <f t="shared" si="0"/>
        <v>3753</v>
      </c>
      <c r="Q9" s="44">
        <v>191</v>
      </c>
      <c r="R9" s="44">
        <v>1203</v>
      </c>
      <c r="S9" s="44">
        <v>515</v>
      </c>
      <c r="T9" s="86">
        <v>1427</v>
      </c>
      <c r="U9" s="86">
        <v>1063</v>
      </c>
      <c r="V9" s="86">
        <v>1668</v>
      </c>
      <c r="W9" s="28">
        <v>7</v>
      </c>
      <c r="X9" s="29">
        <v>1</v>
      </c>
      <c r="Y9" s="86">
        <v>2</v>
      </c>
      <c r="Z9" s="28">
        <v>2</v>
      </c>
      <c r="AA9" s="94">
        <v>1</v>
      </c>
      <c r="AB9" s="98">
        <v>3</v>
      </c>
      <c r="AC9" s="53">
        <f t="shared" si="1"/>
        <v>6083</v>
      </c>
    </row>
    <row r="10" spans="1:29" ht="30" customHeight="1" x14ac:dyDescent="0.25">
      <c r="A10" s="5">
        <v>7</v>
      </c>
      <c r="B10" s="7" t="s">
        <v>23</v>
      </c>
      <c r="C10" s="6" t="s">
        <v>24</v>
      </c>
      <c r="D10" s="35">
        <v>1086</v>
      </c>
      <c r="E10" s="35">
        <v>851</v>
      </c>
      <c r="F10" s="35">
        <v>567</v>
      </c>
      <c r="G10" s="35">
        <v>836</v>
      </c>
      <c r="H10" s="35">
        <v>863</v>
      </c>
      <c r="I10" s="35">
        <v>1059</v>
      </c>
      <c r="J10" s="28">
        <v>77</v>
      </c>
      <c r="K10" s="29">
        <v>98</v>
      </c>
      <c r="L10" s="35">
        <v>89</v>
      </c>
      <c r="M10" s="28">
        <v>147</v>
      </c>
      <c r="N10" s="35">
        <v>107</v>
      </c>
      <c r="O10" s="35">
        <v>64</v>
      </c>
      <c r="P10" s="53">
        <f t="shared" si="0"/>
        <v>5844</v>
      </c>
      <c r="Q10" s="44">
        <v>341</v>
      </c>
      <c r="R10" s="44">
        <v>350</v>
      </c>
      <c r="S10" s="44">
        <v>607</v>
      </c>
      <c r="T10" s="86">
        <v>450</v>
      </c>
      <c r="U10" s="86">
        <v>921</v>
      </c>
      <c r="V10" s="86">
        <v>1169</v>
      </c>
      <c r="W10" s="28">
        <v>1024</v>
      </c>
      <c r="X10" s="29">
        <v>1381</v>
      </c>
      <c r="Y10" s="86">
        <v>1231</v>
      </c>
      <c r="Z10" s="28">
        <v>1633</v>
      </c>
      <c r="AA10" s="94">
        <v>971</v>
      </c>
      <c r="AB10" s="98">
        <v>535</v>
      </c>
      <c r="AC10" s="53">
        <f t="shared" si="1"/>
        <v>10613</v>
      </c>
    </row>
    <row r="11" spans="1:29" ht="30" customHeight="1" x14ac:dyDescent="0.25">
      <c r="A11" s="5">
        <v>8</v>
      </c>
      <c r="B11" s="7" t="s">
        <v>23</v>
      </c>
      <c r="C11" s="6" t="s">
        <v>25</v>
      </c>
      <c r="D11" s="35">
        <v>49</v>
      </c>
      <c r="E11" s="35">
        <v>96</v>
      </c>
      <c r="F11" s="35">
        <v>123</v>
      </c>
      <c r="G11" s="35">
        <v>76</v>
      </c>
      <c r="H11" s="35">
        <v>98</v>
      </c>
      <c r="I11" s="35">
        <v>89</v>
      </c>
      <c r="J11" s="28">
        <v>44</v>
      </c>
      <c r="K11" s="29">
        <v>78</v>
      </c>
      <c r="L11" s="35">
        <v>89</v>
      </c>
      <c r="M11" s="28">
        <v>147</v>
      </c>
      <c r="N11" s="35">
        <v>107</v>
      </c>
      <c r="O11" s="35">
        <v>64</v>
      </c>
      <c r="P11" s="53">
        <f t="shared" si="0"/>
        <v>1060</v>
      </c>
      <c r="Q11" s="44">
        <v>124</v>
      </c>
      <c r="R11" s="44">
        <v>88</v>
      </c>
      <c r="S11" s="44">
        <v>413</v>
      </c>
      <c r="T11" s="86">
        <v>85</v>
      </c>
      <c r="U11" s="86">
        <v>129</v>
      </c>
      <c r="V11" s="86">
        <v>104</v>
      </c>
      <c r="W11" s="28">
        <v>84</v>
      </c>
      <c r="X11" s="29">
        <v>99</v>
      </c>
      <c r="Y11" s="86">
        <v>112</v>
      </c>
      <c r="Z11" s="28">
        <v>77</v>
      </c>
      <c r="AA11" s="94">
        <v>81</v>
      </c>
      <c r="AB11" s="98">
        <v>26</v>
      </c>
      <c r="AC11" s="53">
        <f t="shared" si="1"/>
        <v>1422</v>
      </c>
    </row>
    <row r="12" spans="1:29" ht="30" customHeight="1" x14ac:dyDescent="0.25">
      <c r="A12" s="5">
        <v>9</v>
      </c>
      <c r="B12" s="7" t="s">
        <v>23</v>
      </c>
      <c r="C12" s="6" t="s">
        <v>26</v>
      </c>
      <c r="D12" s="35">
        <v>49</v>
      </c>
      <c r="E12" s="35">
        <v>96</v>
      </c>
      <c r="F12" s="35">
        <v>123</v>
      </c>
      <c r="G12" s="35">
        <v>76</v>
      </c>
      <c r="H12" s="35">
        <v>98</v>
      </c>
      <c r="I12" s="35">
        <v>89</v>
      </c>
      <c r="J12" s="28">
        <v>44</v>
      </c>
      <c r="K12" s="29">
        <v>78</v>
      </c>
      <c r="L12" s="35">
        <v>89</v>
      </c>
      <c r="M12" s="28">
        <v>147</v>
      </c>
      <c r="N12" s="35">
        <v>107</v>
      </c>
      <c r="O12" s="35">
        <v>64</v>
      </c>
      <c r="P12" s="53">
        <f t="shared" si="0"/>
        <v>1060</v>
      </c>
      <c r="Q12" s="44">
        <v>123</v>
      </c>
      <c r="R12" s="44">
        <v>70</v>
      </c>
      <c r="S12" s="44">
        <v>361</v>
      </c>
      <c r="T12" s="86">
        <v>85</v>
      </c>
      <c r="U12" s="86">
        <v>105</v>
      </c>
      <c r="V12" s="86">
        <v>52</v>
      </c>
      <c r="W12" s="28">
        <v>80</v>
      </c>
      <c r="X12" s="29">
        <v>83</v>
      </c>
      <c r="Y12" s="86">
        <v>65</v>
      </c>
      <c r="Z12" s="28">
        <v>45</v>
      </c>
      <c r="AA12" s="94">
        <v>62</v>
      </c>
      <c r="AB12" s="98">
        <v>8</v>
      </c>
      <c r="AC12" s="53">
        <f t="shared" si="1"/>
        <v>1139</v>
      </c>
    </row>
    <row r="13" spans="1:29" ht="36.75" customHeight="1" x14ac:dyDescent="0.25">
      <c r="A13" s="5">
        <v>10</v>
      </c>
      <c r="B13" s="8" t="s">
        <v>27</v>
      </c>
      <c r="C13" s="6" t="s">
        <v>28</v>
      </c>
      <c r="D13" s="35">
        <v>141</v>
      </c>
      <c r="E13" s="35">
        <v>137</v>
      </c>
      <c r="F13" s="35">
        <v>190</v>
      </c>
      <c r="G13" s="35">
        <v>207</v>
      </c>
      <c r="H13" s="35">
        <v>152</v>
      </c>
      <c r="I13" s="35">
        <v>172</v>
      </c>
      <c r="J13" s="28">
        <v>0</v>
      </c>
      <c r="K13" s="29">
        <v>0</v>
      </c>
      <c r="L13" s="35">
        <v>51</v>
      </c>
      <c r="M13" s="28">
        <v>67</v>
      </c>
      <c r="N13" s="35">
        <v>12</v>
      </c>
      <c r="O13" s="35">
        <v>64</v>
      </c>
      <c r="P13" s="53">
        <f t="shared" si="0"/>
        <v>1193</v>
      </c>
      <c r="Q13" s="44">
        <v>48</v>
      </c>
      <c r="R13" s="44">
        <v>104</v>
      </c>
      <c r="S13" s="44">
        <v>139</v>
      </c>
      <c r="T13" s="86">
        <v>17</v>
      </c>
      <c r="U13" s="86">
        <v>4</v>
      </c>
      <c r="V13" s="86">
        <v>32</v>
      </c>
      <c r="W13" s="28">
        <v>20</v>
      </c>
      <c r="X13" s="29">
        <v>15</v>
      </c>
      <c r="Y13" s="86">
        <v>3</v>
      </c>
      <c r="Z13" s="28">
        <v>7</v>
      </c>
      <c r="AA13" s="94">
        <v>19</v>
      </c>
      <c r="AB13" s="98">
        <v>141</v>
      </c>
      <c r="AC13" s="53">
        <f t="shared" si="1"/>
        <v>549</v>
      </c>
    </row>
    <row r="14" spans="1:29" ht="36.75" customHeight="1" x14ac:dyDescent="0.25">
      <c r="A14" s="5">
        <v>11</v>
      </c>
      <c r="B14" s="8" t="s">
        <v>27</v>
      </c>
      <c r="C14" s="6" t="s">
        <v>29</v>
      </c>
      <c r="D14" s="35">
        <v>0</v>
      </c>
      <c r="E14" s="35">
        <v>0</v>
      </c>
      <c r="F14" s="35">
        <v>9</v>
      </c>
      <c r="G14" s="35">
        <v>0</v>
      </c>
      <c r="H14" s="35">
        <v>0</v>
      </c>
      <c r="I14" s="35">
        <v>0</v>
      </c>
      <c r="J14" s="28">
        <v>0</v>
      </c>
      <c r="K14" s="29">
        <v>0</v>
      </c>
      <c r="L14" s="35">
        <v>0</v>
      </c>
      <c r="M14" s="28">
        <v>0</v>
      </c>
      <c r="N14" s="35">
        <v>0</v>
      </c>
      <c r="O14" s="35">
        <v>0</v>
      </c>
      <c r="P14" s="53">
        <f t="shared" si="0"/>
        <v>9</v>
      </c>
      <c r="Q14" s="44">
        <v>1</v>
      </c>
      <c r="R14" s="44">
        <v>7</v>
      </c>
      <c r="S14" s="44">
        <v>11</v>
      </c>
      <c r="T14" s="86">
        <v>4</v>
      </c>
      <c r="U14" s="86">
        <v>6</v>
      </c>
      <c r="V14" s="86">
        <v>11</v>
      </c>
      <c r="W14" s="28">
        <v>8</v>
      </c>
      <c r="X14" s="29">
        <v>11</v>
      </c>
      <c r="Y14" s="86">
        <v>0</v>
      </c>
      <c r="Z14" s="28">
        <v>8</v>
      </c>
      <c r="AA14" s="94">
        <v>4</v>
      </c>
      <c r="AB14" s="98">
        <v>0</v>
      </c>
      <c r="AC14" s="53">
        <f t="shared" si="1"/>
        <v>71</v>
      </c>
    </row>
    <row r="15" spans="1:29" ht="36.75" customHeight="1" x14ac:dyDescent="0.25">
      <c r="A15" s="5">
        <v>12</v>
      </c>
      <c r="B15" s="8" t="s">
        <v>27</v>
      </c>
      <c r="C15" s="6" t="s">
        <v>30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8">
        <v>0</v>
      </c>
      <c r="K15" s="29">
        <v>0</v>
      </c>
      <c r="L15" s="35">
        <v>0</v>
      </c>
      <c r="M15" s="28">
        <v>0</v>
      </c>
      <c r="N15" s="35">
        <v>0</v>
      </c>
      <c r="O15" s="35">
        <v>0</v>
      </c>
      <c r="P15" s="53">
        <f t="shared" si="0"/>
        <v>0</v>
      </c>
      <c r="Q15" s="44">
        <v>419</v>
      </c>
      <c r="R15" s="44">
        <v>375</v>
      </c>
      <c r="S15" s="44">
        <v>325</v>
      </c>
      <c r="T15" s="86">
        <v>125</v>
      </c>
      <c r="U15" s="86">
        <v>4</v>
      </c>
      <c r="V15" s="86">
        <v>0</v>
      </c>
      <c r="W15" s="28">
        <v>0</v>
      </c>
      <c r="X15" s="29">
        <v>0</v>
      </c>
      <c r="Y15" s="86">
        <v>0</v>
      </c>
      <c r="Z15" s="28">
        <v>0</v>
      </c>
      <c r="AA15" s="94">
        <v>0</v>
      </c>
      <c r="AB15" s="98">
        <v>0</v>
      </c>
      <c r="AC15" s="53">
        <f t="shared" si="1"/>
        <v>1248</v>
      </c>
    </row>
    <row r="16" spans="1:29" ht="36.75" customHeight="1" x14ac:dyDescent="0.25">
      <c r="A16" s="5">
        <v>13</v>
      </c>
      <c r="B16" s="8" t="s">
        <v>27</v>
      </c>
      <c r="C16" s="6" t="s">
        <v>31</v>
      </c>
      <c r="D16" s="35">
        <v>750</v>
      </c>
      <c r="E16" s="35">
        <v>377</v>
      </c>
      <c r="F16" s="35">
        <v>434</v>
      </c>
      <c r="G16" s="35">
        <v>340</v>
      </c>
      <c r="H16" s="35">
        <v>416</v>
      </c>
      <c r="I16" s="35">
        <v>445</v>
      </c>
      <c r="J16" s="28">
        <v>68</v>
      </c>
      <c r="K16" s="29">
        <v>278</v>
      </c>
      <c r="L16" s="35">
        <v>161</v>
      </c>
      <c r="M16" s="28">
        <v>281</v>
      </c>
      <c r="N16" s="35">
        <v>431</v>
      </c>
      <c r="O16" s="35">
        <v>523</v>
      </c>
      <c r="P16" s="53">
        <f>SUM(D16:O16)</f>
        <v>4504</v>
      </c>
      <c r="Q16" s="44">
        <v>419</v>
      </c>
      <c r="R16" s="44">
        <v>375</v>
      </c>
      <c r="S16" s="44">
        <v>325</v>
      </c>
      <c r="T16" s="86">
        <v>125</v>
      </c>
      <c r="U16" s="86">
        <v>7</v>
      </c>
      <c r="V16" s="86">
        <v>27</v>
      </c>
      <c r="W16" s="28">
        <v>71</v>
      </c>
      <c r="X16" s="29">
        <v>109</v>
      </c>
      <c r="Y16" s="86">
        <v>62</v>
      </c>
      <c r="Z16" s="28">
        <v>0</v>
      </c>
      <c r="AA16" s="94">
        <v>129</v>
      </c>
      <c r="AB16" s="98">
        <v>1</v>
      </c>
      <c r="AC16" s="53">
        <f>SUM(Q16:AB16)</f>
        <v>1650</v>
      </c>
    </row>
    <row r="17" spans="1:29" ht="30" customHeight="1" x14ac:dyDescent="0.25">
      <c r="A17" s="5">
        <v>14</v>
      </c>
      <c r="B17" s="7" t="s">
        <v>32</v>
      </c>
      <c r="C17" s="6" t="s">
        <v>33</v>
      </c>
      <c r="D17" s="9">
        <v>393163.04</v>
      </c>
      <c r="E17" s="9">
        <v>355881.77</v>
      </c>
      <c r="F17" s="9">
        <v>360724.2</v>
      </c>
      <c r="G17" s="9">
        <v>339656.4</v>
      </c>
      <c r="H17" s="9">
        <v>323684.08</v>
      </c>
      <c r="I17" s="9">
        <v>355658.72</v>
      </c>
      <c r="J17" s="30">
        <v>70646.100000000006</v>
      </c>
      <c r="K17" s="31">
        <v>506073.73</v>
      </c>
      <c r="L17" s="9">
        <v>338422.76</v>
      </c>
      <c r="M17" s="30">
        <v>558845.75</v>
      </c>
      <c r="N17" s="9">
        <v>431404.48</v>
      </c>
      <c r="O17" s="9">
        <v>950941.88</v>
      </c>
      <c r="P17" s="54">
        <f t="shared" si="0"/>
        <v>4985102.91</v>
      </c>
      <c r="Q17" s="9">
        <v>588867.12</v>
      </c>
      <c r="R17" s="9">
        <v>564657</v>
      </c>
      <c r="S17" s="9">
        <v>703753.18</v>
      </c>
      <c r="T17" s="9" t="s">
        <v>126</v>
      </c>
      <c r="U17" s="9" t="s">
        <v>127</v>
      </c>
      <c r="V17" s="9" t="s">
        <v>128</v>
      </c>
      <c r="W17" s="30" t="s">
        <v>129</v>
      </c>
      <c r="X17" s="31">
        <v>336532.52</v>
      </c>
      <c r="Y17" s="9" t="s">
        <v>160</v>
      </c>
      <c r="Z17" s="30" t="s">
        <v>167</v>
      </c>
      <c r="AA17" s="9" t="s">
        <v>176</v>
      </c>
      <c r="AB17" s="9" t="s">
        <v>183</v>
      </c>
      <c r="AC17" s="54">
        <f t="shared" ref="AC17:AC24" si="3">SUM(Q17:AB17)</f>
        <v>2193809.8200000003</v>
      </c>
    </row>
    <row r="18" spans="1:29" ht="30" customHeight="1" x14ac:dyDescent="0.25">
      <c r="A18" s="5">
        <v>15</v>
      </c>
      <c r="B18" s="7" t="s">
        <v>32</v>
      </c>
      <c r="C18" s="6" t="s">
        <v>34</v>
      </c>
      <c r="D18" s="9">
        <v>38228.79</v>
      </c>
      <c r="E18" s="9">
        <v>25024.92</v>
      </c>
      <c r="F18" s="9">
        <v>27164.65</v>
      </c>
      <c r="G18" s="9">
        <v>21415.759999999998</v>
      </c>
      <c r="H18" s="9">
        <v>24743.13</v>
      </c>
      <c r="I18" s="9">
        <v>22346.85</v>
      </c>
      <c r="J18" s="30">
        <v>19553.52</v>
      </c>
      <c r="K18" s="31">
        <v>8729.25</v>
      </c>
      <c r="L18" s="9">
        <v>39743.019999999997</v>
      </c>
      <c r="M18" s="30">
        <v>109297.07</v>
      </c>
      <c r="N18" s="9">
        <v>20484.64</v>
      </c>
      <c r="O18" s="9">
        <v>24232.99</v>
      </c>
      <c r="P18" s="54">
        <f t="shared" si="0"/>
        <v>380964.58999999997</v>
      </c>
      <c r="Q18" s="9">
        <v>23510.78</v>
      </c>
      <c r="R18" s="9">
        <v>17798</v>
      </c>
      <c r="S18" s="9">
        <v>19914.96</v>
      </c>
      <c r="T18" s="9" t="s">
        <v>130</v>
      </c>
      <c r="U18" s="9" t="s">
        <v>131</v>
      </c>
      <c r="V18" s="9" t="s">
        <v>132</v>
      </c>
      <c r="W18" s="30" t="s">
        <v>133</v>
      </c>
      <c r="X18" s="31">
        <v>15357.7</v>
      </c>
      <c r="Y18" s="9" t="s">
        <v>161</v>
      </c>
      <c r="Z18" s="30" t="s">
        <v>168</v>
      </c>
      <c r="AA18" s="9" t="s">
        <v>177</v>
      </c>
      <c r="AB18" s="9" t="s">
        <v>148</v>
      </c>
      <c r="AC18" s="54">
        <f t="shared" si="3"/>
        <v>76581.440000000002</v>
      </c>
    </row>
    <row r="19" spans="1:29" ht="30" customHeight="1" x14ac:dyDescent="0.25">
      <c r="A19" s="5">
        <v>16</v>
      </c>
      <c r="B19" s="7" t="s">
        <v>32</v>
      </c>
      <c r="C19" s="6" t="s">
        <v>35</v>
      </c>
      <c r="D19" s="9">
        <v>24498.400000000001</v>
      </c>
      <c r="E19" s="9">
        <v>33102.15</v>
      </c>
      <c r="F19" s="9">
        <v>25404.21</v>
      </c>
      <c r="G19" s="9">
        <v>46697.56</v>
      </c>
      <c r="H19" s="9">
        <v>96671.23</v>
      </c>
      <c r="I19" s="9">
        <v>56053.82</v>
      </c>
      <c r="J19" s="30">
        <v>20528.2</v>
      </c>
      <c r="K19" s="31">
        <v>40763.97</v>
      </c>
      <c r="L19" s="9">
        <v>106539.43</v>
      </c>
      <c r="M19" s="30">
        <v>511671.01</v>
      </c>
      <c r="N19" s="9">
        <v>286012.18</v>
      </c>
      <c r="O19" s="9">
        <v>113269.52</v>
      </c>
      <c r="P19" s="54">
        <f t="shared" si="0"/>
        <v>1361211.68</v>
      </c>
      <c r="Q19" s="9">
        <v>40592.65</v>
      </c>
      <c r="R19" s="9">
        <v>76770</v>
      </c>
      <c r="S19" s="9">
        <v>110679.01</v>
      </c>
      <c r="T19" s="9" t="s">
        <v>134</v>
      </c>
      <c r="U19" s="9" t="s">
        <v>135</v>
      </c>
      <c r="V19" s="9" t="s">
        <v>136</v>
      </c>
      <c r="W19" s="30" t="s">
        <v>137</v>
      </c>
      <c r="X19" s="31">
        <v>74185.649999999994</v>
      </c>
      <c r="Y19" s="9" t="s">
        <v>162</v>
      </c>
      <c r="Z19" s="30" t="s">
        <v>169</v>
      </c>
      <c r="AA19" s="9" t="s">
        <v>178</v>
      </c>
      <c r="AB19" s="9" t="s">
        <v>184</v>
      </c>
      <c r="AC19" s="54">
        <f t="shared" si="3"/>
        <v>302227.30999999994</v>
      </c>
    </row>
    <row r="20" spans="1:29" ht="30" customHeight="1" x14ac:dyDescent="0.25">
      <c r="A20" s="5">
        <v>17</v>
      </c>
      <c r="B20" s="7" t="s">
        <v>32</v>
      </c>
      <c r="C20" s="6" t="s">
        <v>36</v>
      </c>
      <c r="D20" s="9">
        <v>187006</v>
      </c>
      <c r="E20" s="9">
        <v>130596.28</v>
      </c>
      <c r="F20" s="9">
        <v>132943.56</v>
      </c>
      <c r="G20" s="9">
        <v>95354.22</v>
      </c>
      <c r="H20" s="9">
        <v>119675.1</v>
      </c>
      <c r="I20" s="9">
        <v>115176.54</v>
      </c>
      <c r="J20" s="30">
        <v>105745.78</v>
      </c>
      <c r="K20" s="31">
        <v>72890.759999999995</v>
      </c>
      <c r="L20" s="9">
        <v>165568.26</v>
      </c>
      <c r="M20" s="30">
        <v>323332.5</v>
      </c>
      <c r="N20" s="9">
        <v>94295.6</v>
      </c>
      <c r="O20" s="9">
        <v>124395.6</v>
      </c>
      <c r="P20" s="54">
        <f t="shared" si="0"/>
        <v>1666980.2000000002</v>
      </c>
      <c r="Q20" s="9">
        <v>133620.66</v>
      </c>
      <c r="R20" s="9">
        <v>111611</v>
      </c>
      <c r="S20" s="9">
        <v>128244.72</v>
      </c>
      <c r="T20" s="9" t="s">
        <v>138</v>
      </c>
      <c r="U20" s="9" t="s">
        <v>139</v>
      </c>
      <c r="V20" s="9" t="s">
        <v>140</v>
      </c>
      <c r="W20" s="30" t="s">
        <v>141</v>
      </c>
      <c r="X20" s="31">
        <v>48029.94</v>
      </c>
      <c r="Y20" s="9" t="s">
        <v>163</v>
      </c>
      <c r="Z20" s="30" t="s">
        <v>170</v>
      </c>
      <c r="AA20" s="9" t="s">
        <v>179</v>
      </c>
      <c r="AB20" s="9" t="s">
        <v>148</v>
      </c>
      <c r="AC20" s="54">
        <f t="shared" si="3"/>
        <v>421506.32</v>
      </c>
    </row>
    <row r="21" spans="1:29" ht="30" customHeight="1" x14ac:dyDescent="0.25">
      <c r="A21" s="5">
        <v>18</v>
      </c>
      <c r="B21" s="7" t="s">
        <v>32</v>
      </c>
      <c r="C21" s="6" t="s">
        <v>37</v>
      </c>
      <c r="D21" s="9">
        <v>195328.21</v>
      </c>
      <c r="E21" s="9">
        <v>668110.96</v>
      </c>
      <c r="F21" s="9">
        <v>545341.1</v>
      </c>
      <c r="G21" s="9">
        <v>529732.4</v>
      </c>
      <c r="H21" s="9">
        <v>466421.16</v>
      </c>
      <c r="I21" s="9">
        <v>340120.8</v>
      </c>
      <c r="J21" s="30">
        <v>406173.8</v>
      </c>
      <c r="K21" s="31">
        <v>261375.8</v>
      </c>
      <c r="L21" s="9">
        <v>613243.80000000005</v>
      </c>
      <c r="M21" s="30">
        <v>408215.4</v>
      </c>
      <c r="N21" s="9">
        <v>20163.650000000001</v>
      </c>
      <c r="O21" s="9">
        <v>762943.4</v>
      </c>
      <c r="P21" s="54">
        <f t="shared" si="0"/>
        <v>5217170.4800000004</v>
      </c>
      <c r="Q21" s="9">
        <v>670147.19999999995</v>
      </c>
      <c r="R21" s="9">
        <v>431738</v>
      </c>
      <c r="S21" s="9">
        <v>190115.06</v>
      </c>
      <c r="T21" s="87" t="s">
        <v>142</v>
      </c>
      <c r="U21" s="9" t="s">
        <v>143</v>
      </c>
      <c r="V21" s="9" t="s">
        <v>144</v>
      </c>
      <c r="W21" s="30" t="s">
        <v>145</v>
      </c>
      <c r="X21" s="31">
        <v>768439.1</v>
      </c>
      <c r="Y21" s="9" t="s">
        <v>164</v>
      </c>
      <c r="Z21" s="30" t="s">
        <v>171</v>
      </c>
      <c r="AA21" s="9" t="s">
        <v>180</v>
      </c>
      <c r="AB21" s="9" t="s">
        <v>185</v>
      </c>
      <c r="AC21" s="54">
        <f t="shared" si="3"/>
        <v>2060439.3599999999</v>
      </c>
    </row>
    <row r="22" spans="1:29" ht="30" customHeight="1" x14ac:dyDescent="0.25">
      <c r="A22" s="5">
        <v>19</v>
      </c>
      <c r="B22" s="7" t="s">
        <v>32</v>
      </c>
      <c r="C22" s="6" t="s">
        <v>38</v>
      </c>
      <c r="D22" s="9">
        <v>0</v>
      </c>
      <c r="E22" s="9">
        <v>0</v>
      </c>
      <c r="F22" s="9">
        <v>1482.8</v>
      </c>
      <c r="G22" s="9">
        <v>0</v>
      </c>
      <c r="H22" s="9">
        <v>6080.65</v>
      </c>
      <c r="I22" s="9">
        <v>0</v>
      </c>
      <c r="J22" s="28" t="s">
        <v>106</v>
      </c>
      <c r="K22" s="29" t="s">
        <v>106</v>
      </c>
      <c r="L22" s="9"/>
      <c r="M22" s="28" t="s">
        <v>106</v>
      </c>
      <c r="N22" s="9">
        <v>0</v>
      </c>
      <c r="O22" s="9">
        <v>0</v>
      </c>
      <c r="P22" s="54">
        <f t="shared" si="0"/>
        <v>7563.45</v>
      </c>
      <c r="Q22" s="9">
        <v>0</v>
      </c>
      <c r="R22" s="9">
        <v>0</v>
      </c>
      <c r="S22" s="9">
        <v>0</v>
      </c>
      <c r="T22" s="88" t="s">
        <v>146</v>
      </c>
      <c r="U22" s="9" t="s">
        <v>147</v>
      </c>
      <c r="V22" s="9" t="s">
        <v>148</v>
      </c>
      <c r="W22" s="28">
        <v>0</v>
      </c>
      <c r="X22" s="29">
        <v>0</v>
      </c>
      <c r="Y22" s="9" t="s">
        <v>148</v>
      </c>
      <c r="Z22" s="28">
        <v>0</v>
      </c>
      <c r="AA22" s="9" t="s">
        <v>148</v>
      </c>
      <c r="AB22" s="9" t="s">
        <v>148</v>
      </c>
      <c r="AC22" s="54">
        <f t="shared" si="3"/>
        <v>0</v>
      </c>
    </row>
    <row r="23" spans="1:29" ht="30" customHeight="1" x14ac:dyDescent="0.25">
      <c r="A23" s="5">
        <v>20</v>
      </c>
      <c r="B23" s="7" t="s">
        <v>32</v>
      </c>
      <c r="C23" s="6" t="s">
        <v>39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8" t="s">
        <v>106</v>
      </c>
      <c r="K23" s="29" t="s">
        <v>106</v>
      </c>
      <c r="L23" s="9"/>
      <c r="M23" s="28" t="s">
        <v>106</v>
      </c>
      <c r="N23" s="9">
        <v>0</v>
      </c>
      <c r="O23" s="9">
        <v>6365</v>
      </c>
      <c r="P23" s="54">
        <f t="shared" si="0"/>
        <v>6365</v>
      </c>
      <c r="Q23" s="9">
        <v>16013</v>
      </c>
      <c r="R23" s="9">
        <v>0</v>
      </c>
      <c r="S23" s="9">
        <v>0</v>
      </c>
      <c r="T23" s="45" t="s">
        <v>149</v>
      </c>
      <c r="U23" s="9" t="s">
        <v>150</v>
      </c>
      <c r="V23" s="9" t="s">
        <v>151</v>
      </c>
      <c r="W23" s="28" t="s">
        <v>152</v>
      </c>
      <c r="X23" s="89">
        <v>9967</v>
      </c>
      <c r="Y23" s="9" t="s">
        <v>165</v>
      </c>
      <c r="Z23" s="28" t="s">
        <v>172</v>
      </c>
      <c r="AA23" s="9" t="s">
        <v>181</v>
      </c>
      <c r="AB23" s="9" t="s">
        <v>186</v>
      </c>
      <c r="AC23" s="54">
        <f t="shared" si="3"/>
        <v>25980</v>
      </c>
    </row>
    <row r="24" spans="1:29" ht="30" customHeight="1" x14ac:dyDescent="0.25">
      <c r="A24" s="5">
        <v>22</v>
      </c>
      <c r="B24" s="7" t="s">
        <v>32</v>
      </c>
      <c r="C24" s="6" t="s">
        <v>40</v>
      </c>
      <c r="D24" s="9">
        <f t="shared" ref="D24:K24" si="4">SUM(D4:D23)</f>
        <v>840671.44</v>
      </c>
      <c r="E24" s="9">
        <f t="shared" si="4"/>
        <v>1214631.08</v>
      </c>
      <c r="F24" s="9">
        <f t="shared" si="4"/>
        <v>1094898.5200000003</v>
      </c>
      <c r="G24" s="9">
        <f t="shared" si="4"/>
        <v>1034829.3400000001</v>
      </c>
      <c r="H24" s="9">
        <f t="shared" si="4"/>
        <v>1039351.35</v>
      </c>
      <c r="I24" s="9">
        <f t="shared" si="4"/>
        <v>891670.73</v>
      </c>
      <c r="J24" s="9">
        <f t="shared" si="4"/>
        <v>623058.4</v>
      </c>
      <c r="K24" s="9">
        <f t="shared" si="4"/>
        <v>892279.51</v>
      </c>
      <c r="L24" s="9">
        <f>SUM(L4:L23)</f>
        <v>1264888.27</v>
      </c>
      <c r="M24" s="9">
        <f>SUM(M4:M23)</f>
        <v>1912966.73</v>
      </c>
      <c r="N24" s="9">
        <v>852360.55</v>
      </c>
      <c r="O24" s="9">
        <v>1982148.3900000001</v>
      </c>
      <c r="P24" s="54">
        <f t="shared" si="0"/>
        <v>13643754.310000001</v>
      </c>
      <c r="Q24" s="54">
        <f t="shared" ref="Q24:S24" si="5">SUM(Q17:Q23)</f>
        <v>1472751.4100000001</v>
      </c>
      <c r="R24" s="54">
        <f t="shared" si="5"/>
        <v>1202574</v>
      </c>
      <c r="S24" s="54">
        <f t="shared" si="5"/>
        <v>1152706.93</v>
      </c>
      <c r="T24" s="54" t="s">
        <v>153</v>
      </c>
      <c r="U24" s="54" t="s">
        <v>154</v>
      </c>
      <c r="V24" s="54" t="s">
        <v>155</v>
      </c>
      <c r="W24" s="54" t="s">
        <v>156</v>
      </c>
      <c r="X24" s="54">
        <f t="shared" ref="X24" si="6">SUM(X17:X23)</f>
        <v>1252511.9099999999</v>
      </c>
      <c r="Y24" s="54" t="s">
        <v>166</v>
      </c>
      <c r="Z24" s="54" t="s">
        <v>173</v>
      </c>
      <c r="AA24" s="54" t="s">
        <v>182</v>
      </c>
      <c r="AB24" s="54" t="s">
        <v>187</v>
      </c>
      <c r="AC24" s="54">
        <f t="shared" si="3"/>
        <v>5080544.25</v>
      </c>
    </row>
    <row r="25" spans="1:29" x14ac:dyDescent="0.25">
      <c r="P25" s="11"/>
      <c r="V25">
        <v>8542.5</v>
      </c>
      <c r="Z25" s="92"/>
    </row>
    <row r="26" spans="1:29" x14ac:dyDescent="0.25">
      <c r="V26">
        <v>0</v>
      </c>
      <c r="Z26" s="92"/>
    </row>
    <row r="27" spans="1:29" ht="35.25" customHeight="1" x14ac:dyDescent="0.25">
      <c r="C27" s="10" t="s">
        <v>43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513196.55</v>
      </c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C28" s="105" t="s">
        <v>44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Z28" s="92"/>
    </row>
    <row r="29" spans="1:29" ht="35.25" customHeight="1" x14ac:dyDescent="0.25">
      <c r="C29" s="105" t="s">
        <v>45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Z29" s="92"/>
    </row>
    <row r="30" spans="1:29" ht="35.25" customHeight="1" x14ac:dyDescent="0.25">
      <c r="C30" s="105" t="s">
        <v>46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Z30" s="92"/>
    </row>
    <row r="31" spans="1:29" ht="35.25" customHeight="1" x14ac:dyDescent="0.25">
      <c r="C31" s="105" t="s">
        <v>47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Z31" s="92"/>
    </row>
  </sheetData>
  <mergeCells count="8">
    <mergeCell ref="C31:Q31"/>
    <mergeCell ref="D1:O1"/>
    <mergeCell ref="D2:O2"/>
    <mergeCell ref="C28:Q28"/>
    <mergeCell ref="C29:Q29"/>
    <mergeCell ref="C30:Q30"/>
    <mergeCell ref="Q1:AB1"/>
    <mergeCell ref="Q2:AB2"/>
  </mergeCells>
  <pageMargins left="0.25" right="0.25" top="0.75" bottom="0.75" header="0.3" footer="0.3"/>
  <pageSetup scale="83" fitToHeight="0" orientation="portrait" r:id="rId1"/>
  <rowBreaks count="1" manualBreakCount="1">
    <brk id="24" max="17" man="1"/>
  </rowBreaks>
  <ignoredErrors>
    <ignoredError sqref="D9:F9 G9:I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showGridLines="0" topLeftCell="K1" zoomScale="90" zoomScaleNormal="90" workbookViewId="0">
      <pane ySplit="3" topLeftCell="A4" activePane="bottomLeft" state="frozen"/>
      <selection pane="bottomLeft" activeCell="Q4" sqref="Q4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140625" customWidth="1"/>
    <col min="4" max="15" width="15.42578125" customWidth="1"/>
    <col min="17" max="28" width="15.42578125" bestFit="1" customWidth="1"/>
  </cols>
  <sheetData>
    <row r="1" spans="1:29" s="23" customFormat="1" ht="29.25" customHeight="1" x14ac:dyDescent="0.25">
      <c r="D1" s="99" t="s">
        <v>123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Q1" s="99" t="s">
        <v>90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9" s="23" customFormat="1" ht="29.25" customHeight="1" x14ac:dyDescent="0.25">
      <c r="D2" s="100" t="s"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0" t="s">
        <v>107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9" ht="22.5" customHeight="1" x14ac:dyDescent="0.25">
      <c r="A3" s="20" t="s">
        <v>0</v>
      </c>
      <c r="B3" s="20" t="s">
        <v>15</v>
      </c>
      <c r="C3" s="20" t="s">
        <v>93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0" t="s">
        <v>108</v>
      </c>
      <c r="Q3" s="51" t="s">
        <v>110</v>
      </c>
      <c r="R3" s="51" t="s">
        <v>111</v>
      </c>
      <c r="S3" s="51" t="s">
        <v>112</v>
      </c>
      <c r="T3" s="51" t="s">
        <v>113</v>
      </c>
      <c r="U3" s="51" t="s">
        <v>114</v>
      </c>
      <c r="V3" s="51" t="s">
        <v>115</v>
      </c>
      <c r="W3" s="51" t="s">
        <v>116</v>
      </c>
      <c r="X3" s="51" t="s">
        <v>117</v>
      </c>
      <c r="Y3" s="51" t="s">
        <v>118</v>
      </c>
      <c r="Z3" s="51" t="s">
        <v>119</v>
      </c>
      <c r="AA3" s="51" t="s">
        <v>120</v>
      </c>
      <c r="AB3" s="51" t="s">
        <v>121</v>
      </c>
      <c r="AC3" s="52" t="s">
        <v>109</v>
      </c>
    </row>
    <row r="4" spans="1:29" s="69" customFormat="1" ht="30" customHeight="1" x14ac:dyDescent="0.25">
      <c r="A4" s="7">
        <v>1</v>
      </c>
      <c r="B4" s="7" t="s">
        <v>71</v>
      </c>
      <c r="C4" s="25" t="s">
        <v>72</v>
      </c>
      <c r="D4" s="65">
        <v>867</v>
      </c>
      <c r="E4" s="65">
        <v>920</v>
      </c>
      <c r="F4" s="65">
        <v>1186</v>
      </c>
      <c r="G4" s="65">
        <v>1028</v>
      </c>
      <c r="H4" s="65">
        <v>996</v>
      </c>
      <c r="I4" s="65">
        <v>951</v>
      </c>
      <c r="J4" s="66">
        <v>1119</v>
      </c>
      <c r="K4" s="65">
        <v>974</v>
      </c>
      <c r="L4" s="67">
        <v>888</v>
      </c>
      <c r="M4" s="68">
        <v>778</v>
      </c>
      <c r="N4" s="65" t="s">
        <v>94</v>
      </c>
      <c r="O4" s="65" t="s">
        <v>94</v>
      </c>
      <c r="P4" s="82">
        <f t="shared" ref="P4:P11" si="0">SUM(D4:O4)</f>
        <v>9707</v>
      </c>
      <c r="Q4" s="79">
        <v>728</v>
      </c>
      <c r="R4" s="65">
        <v>476</v>
      </c>
      <c r="S4" s="65">
        <v>379</v>
      </c>
      <c r="T4" s="65">
        <v>435</v>
      </c>
      <c r="U4" s="65">
        <v>459</v>
      </c>
      <c r="V4" s="65">
        <v>373</v>
      </c>
      <c r="W4" s="65">
        <v>388</v>
      </c>
      <c r="X4" s="65">
        <v>382</v>
      </c>
      <c r="Y4" s="65">
        <v>403</v>
      </c>
      <c r="Z4" s="65">
        <v>389</v>
      </c>
      <c r="AA4" s="65">
        <v>399</v>
      </c>
      <c r="AB4" s="65">
        <v>509</v>
      </c>
      <c r="AC4" s="81">
        <f t="shared" ref="AC4:AC11" si="1">SUM(Q4:AB4)</f>
        <v>5320</v>
      </c>
    </row>
    <row r="5" spans="1:29" s="69" customFormat="1" ht="30" customHeight="1" x14ac:dyDescent="0.25">
      <c r="A5" s="7">
        <v>2</v>
      </c>
      <c r="B5" s="7" t="s">
        <v>71</v>
      </c>
      <c r="C5" s="25" t="s">
        <v>73</v>
      </c>
      <c r="D5" s="65">
        <v>404</v>
      </c>
      <c r="E5" s="65">
        <v>420</v>
      </c>
      <c r="F5" s="65">
        <v>514</v>
      </c>
      <c r="G5" s="65">
        <v>428</v>
      </c>
      <c r="H5" s="65">
        <v>377</v>
      </c>
      <c r="I5" s="65">
        <v>308</v>
      </c>
      <c r="J5" s="66">
        <v>236</v>
      </c>
      <c r="K5" s="65">
        <v>222</v>
      </c>
      <c r="L5" s="67">
        <v>197</v>
      </c>
      <c r="M5" s="68">
        <v>203</v>
      </c>
      <c r="N5" s="65" t="s">
        <v>94</v>
      </c>
      <c r="O5" s="65" t="s">
        <v>94</v>
      </c>
      <c r="P5" s="82">
        <f t="shared" si="0"/>
        <v>3309</v>
      </c>
      <c r="Q5" s="79">
        <v>118</v>
      </c>
      <c r="R5" s="65">
        <v>162</v>
      </c>
      <c r="S5" s="65">
        <v>112</v>
      </c>
      <c r="T5" s="65">
        <v>156</v>
      </c>
      <c r="U5" s="65">
        <v>175</v>
      </c>
      <c r="V5" s="65">
        <v>180</v>
      </c>
      <c r="W5" s="65">
        <v>163</v>
      </c>
      <c r="X5" s="65">
        <v>157</v>
      </c>
      <c r="Y5" s="65">
        <v>156</v>
      </c>
      <c r="Z5" s="65">
        <v>106</v>
      </c>
      <c r="AA5" s="65">
        <v>113</v>
      </c>
      <c r="AB5" s="65">
        <v>133</v>
      </c>
      <c r="AC5" s="81">
        <f t="shared" si="1"/>
        <v>1731</v>
      </c>
    </row>
    <row r="6" spans="1:29" s="69" customFormat="1" ht="30" customHeight="1" x14ac:dyDescent="0.25">
      <c r="A6" s="7">
        <v>3</v>
      </c>
      <c r="B6" s="7" t="s">
        <v>71</v>
      </c>
      <c r="C6" s="25" t="s">
        <v>74</v>
      </c>
      <c r="D6" s="65" t="s">
        <v>94</v>
      </c>
      <c r="E6" s="65" t="s">
        <v>94</v>
      </c>
      <c r="F6" s="65" t="s">
        <v>94</v>
      </c>
      <c r="G6" s="65" t="s">
        <v>94</v>
      </c>
      <c r="H6" s="65" t="s">
        <v>94</v>
      </c>
      <c r="I6" s="65" t="s">
        <v>94</v>
      </c>
      <c r="J6" s="65" t="s">
        <v>94</v>
      </c>
      <c r="K6" s="65" t="s">
        <v>94</v>
      </c>
      <c r="L6" s="67" t="s">
        <v>94</v>
      </c>
      <c r="M6" s="68" t="s">
        <v>94</v>
      </c>
      <c r="N6" s="65" t="s">
        <v>94</v>
      </c>
      <c r="O6" s="65" t="s">
        <v>94</v>
      </c>
      <c r="P6" s="82">
        <f t="shared" si="0"/>
        <v>0</v>
      </c>
      <c r="Q6" s="79" t="s">
        <v>122</v>
      </c>
      <c r="R6" s="65" t="s">
        <v>122</v>
      </c>
      <c r="S6" s="65" t="s">
        <v>122</v>
      </c>
      <c r="T6" s="65" t="s">
        <v>122</v>
      </c>
      <c r="U6" s="65" t="s">
        <v>122</v>
      </c>
      <c r="V6" s="65" t="s">
        <v>122</v>
      </c>
      <c r="W6" s="65" t="s">
        <v>122</v>
      </c>
      <c r="X6" s="65" t="s">
        <v>122</v>
      </c>
      <c r="Y6" s="65" t="s">
        <v>122</v>
      </c>
      <c r="Z6" s="65" t="s">
        <v>122</v>
      </c>
      <c r="AA6" s="65" t="s">
        <v>122</v>
      </c>
      <c r="AB6" s="65" t="s">
        <v>122</v>
      </c>
      <c r="AC6" s="81">
        <f t="shared" si="1"/>
        <v>0</v>
      </c>
    </row>
    <row r="7" spans="1:29" s="69" customFormat="1" ht="30" customHeight="1" x14ac:dyDescent="0.25">
      <c r="A7" s="7">
        <v>4</v>
      </c>
      <c r="B7" s="7" t="s">
        <v>71</v>
      </c>
      <c r="C7" s="25" t="s">
        <v>75</v>
      </c>
      <c r="D7" s="65">
        <f t="shared" ref="D7:K7" si="2">SUM(D4:D6)</f>
        <v>1271</v>
      </c>
      <c r="E7" s="65">
        <f t="shared" si="2"/>
        <v>1340</v>
      </c>
      <c r="F7" s="65">
        <f t="shared" si="2"/>
        <v>1700</v>
      </c>
      <c r="G7" s="65">
        <f t="shared" si="2"/>
        <v>1456</v>
      </c>
      <c r="H7" s="65">
        <f t="shared" si="2"/>
        <v>1373</v>
      </c>
      <c r="I7" s="65">
        <f t="shared" si="2"/>
        <v>1259</v>
      </c>
      <c r="J7" s="70">
        <f t="shared" si="2"/>
        <v>1355</v>
      </c>
      <c r="K7" s="70">
        <f t="shared" si="2"/>
        <v>1196</v>
      </c>
      <c r="L7" s="71">
        <v>1085</v>
      </c>
      <c r="M7" s="72">
        <v>981</v>
      </c>
      <c r="N7" s="65" t="s">
        <v>94</v>
      </c>
      <c r="O7" s="65" t="s">
        <v>94</v>
      </c>
      <c r="P7" s="82">
        <f t="shared" si="0"/>
        <v>13016</v>
      </c>
      <c r="Q7" s="79">
        <v>836</v>
      </c>
      <c r="R7" s="65">
        <v>638</v>
      </c>
      <c r="S7" s="65">
        <v>491</v>
      </c>
      <c r="T7" s="65">
        <v>591</v>
      </c>
      <c r="U7" s="65">
        <v>634</v>
      </c>
      <c r="V7" s="65">
        <v>553</v>
      </c>
      <c r="W7" s="65">
        <v>551</v>
      </c>
      <c r="X7" s="65">
        <v>539</v>
      </c>
      <c r="Y7" s="65">
        <v>559</v>
      </c>
      <c r="Z7" s="65">
        <v>495</v>
      </c>
      <c r="AA7" s="65">
        <v>512</v>
      </c>
      <c r="AB7" s="65">
        <v>642</v>
      </c>
      <c r="AC7" s="81">
        <f t="shared" si="1"/>
        <v>7041</v>
      </c>
    </row>
    <row r="8" spans="1:29" s="69" customFormat="1" ht="30" customHeight="1" x14ac:dyDescent="0.25">
      <c r="A8" s="7">
        <v>5</v>
      </c>
      <c r="B8" s="7" t="s">
        <v>32</v>
      </c>
      <c r="C8" s="25" t="s">
        <v>72</v>
      </c>
      <c r="D8" s="73">
        <v>90426.89</v>
      </c>
      <c r="E8" s="73">
        <v>75503.53</v>
      </c>
      <c r="F8" s="73">
        <v>102662.37</v>
      </c>
      <c r="G8" s="73">
        <v>128191.82</v>
      </c>
      <c r="H8" s="73">
        <v>79766.38</v>
      </c>
      <c r="I8" s="74">
        <v>37912.800000000003</v>
      </c>
      <c r="J8" s="73">
        <v>48687.22</v>
      </c>
      <c r="K8" s="74">
        <v>53883.199999999997</v>
      </c>
      <c r="L8" s="75">
        <v>15202.76</v>
      </c>
      <c r="M8" s="76">
        <v>20591.2</v>
      </c>
      <c r="N8" s="65" t="s">
        <v>94</v>
      </c>
      <c r="O8" s="65" t="s">
        <v>94</v>
      </c>
      <c r="P8" s="82">
        <f t="shared" si="0"/>
        <v>652828.16999999993</v>
      </c>
      <c r="Q8" s="80">
        <v>33484.550000000003</v>
      </c>
      <c r="R8" s="80">
        <v>6224.3</v>
      </c>
      <c r="S8" s="80">
        <v>11446.95</v>
      </c>
      <c r="T8" s="65">
        <v>28528.49</v>
      </c>
      <c r="U8" s="65">
        <v>15468</v>
      </c>
      <c r="V8" s="65">
        <v>2.375</v>
      </c>
      <c r="W8" s="65">
        <v>0</v>
      </c>
      <c r="X8" s="65">
        <v>7.6269999999999998</v>
      </c>
      <c r="Y8" s="65">
        <v>0</v>
      </c>
      <c r="Z8" s="65">
        <v>6.2240000000000002</v>
      </c>
      <c r="AA8" s="65">
        <v>4.6680000000000001</v>
      </c>
      <c r="AB8" s="65">
        <v>6.8470000000000004</v>
      </c>
      <c r="AC8" s="81">
        <f t="shared" si="1"/>
        <v>95180.031000000003</v>
      </c>
    </row>
    <row r="9" spans="1:29" s="69" customFormat="1" ht="30" customHeight="1" x14ac:dyDescent="0.25">
      <c r="A9" s="7">
        <v>6</v>
      </c>
      <c r="B9" s="7" t="s">
        <v>32</v>
      </c>
      <c r="C9" s="25" t="s">
        <v>73</v>
      </c>
      <c r="D9" s="73">
        <v>53233.42</v>
      </c>
      <c r="E9" s="73">
        <v>56928.81</v>
      </c>
      <c r="F9" s="73">
        <v>56008.58</v>
      </c>
      <c r="G9" s="73">
        <v>58409.38</v>
      </c>
      <c r="H9" s="73">
        <v>26171.84</v>
      </c>
      <c r="I9" s="74">
        <v>22324.04</v>
      </c>
      <c r="J9" s="73">
        <v>29347.02</v>
      </c>
      <c r="K9" s="74">
        <v>24209.64</v>
      </c>
      <c r="L9" s="75">
        <v>10391.76</v>
      </c>
      <c r="M9" s="76">
        <v>12219.94</v>
      </c>
      <c r="N9" s="65" t="s">
        <v>94</v>
      </c>
      <c r="O9" s="65" t="s">
        <v>94</v>
      </c>
      <c r="P9" s="82">
        <f t="shared" si="0"/>
        <v>349244.43000000005</v>
      </c>
      <c r="Q9" s="80">
        <v>4522.34</v>
      </c>
      <c r="R9" s="80">
        <v>26952.14</v>
      </c>
      <c r="S9" s="80">
        <v>30082.23</v>
      </c>
      <c r="T9" s="65">
        <v>28317.919999999998</v>
      </c>
      <c r="U9" s="65">
        <v>17117</v>
      </c>
      <c r="V9" s="65">
        <v>5.7060000000000004</v>
      </c>
      <c r="W9" s="65">
        <v>3.63</v>
      </c>
      <c r="X9" s="65">
        <v>13.486000000000001</v>
      </c>
      <c r="Y9" s="65">
        <v>17.117000000000001</v>
      </c>
      <c r="Z9" s="65">
        <v>12.968</v>
      </c>
      <c r="AA9" s="65">
        <v>6.7430000000000003</v>
      </c>
      <c r="AB9" s="65">
        <v>16.079999999999998</v>
      </c>
      <c r="AC9" s="81">
        <f t="shared" si="1"/>
        <v>107067.36000000002</v>
      </c>
    </row>
    <row r="10" spans="1:29" s="69" customFormat="1" ht="30" customHeight="1" x14ac:dyDescent="0.25">
      <c r="A10" s="7">
        <v>7</v>
      </c>
      <c r="B10" s="7" t="s">
        <v>32</v>
      </c>
      <c r="C10" s="25" t="s">
        <v>74</v>
      </c>
      <c r="D10" s="73" t="s">
        <v>94</v>
      </c>
      <c r="E10" s="73" t="s">
        <v>94</v>
      </c>
      <c r="F10" s="73" t="s">
        <v>94</v>
      </c>
      <c r="G10" s="73" t="s">
        <v>94</v>
      </c>
      <c r="H10" s="73" t="s">
        <v>94</v>
      </c>
      <c r="I10" s="73" t="s">
        <v>94</v>
      </c>
      <c r="J10" s="73" t="s">
        <v>94</v>
      </c>
      <c r="K10" s="73" t="s">
        <v>94</v>
      </c>
      <c r="L10" s="77" t="s">
        <v>94</v>
      </c>
      <c r="M10" s="78" t="s">
        <v>94</v>
      </c>
      <c r="N10" s="65" t="s">
        <v>94</v>
      </c>
      <c r="O10" s="65" t="s">
        <v>94</v>
      </c>
      <c r="P10" s="82">
        <f t="shared" si="0"/>
        <v>0</v>
      </c>
      <c r="Q10" s="80" t="s">
        <v>122</v>
      </c>
      <c r="R10" s="65" t="s">
        <v>122</v>
      </c>
      <c r="S10" s="65" t="s">
        <v>122</v>
      </c>
      <c r="T10" s="65" t="s">
        <v>122</v>
      </c>
      <c r="U10" s="65" t="s">
        <v>122</v>
      </c>
      <c r="V10" s="65" t="s">
        <v>122</v>
      </c>
      <c r="W10" s="65" t="s">
        <v>122</v>
      </c>
      <c r="X10" s="65" t="s">
        <v>122</v>
      </c>
      <c r="Y10" s="65" t="s">
        <v>122</v>
      </c>
      <c r="Z10" s="65" t="s">
        <v>122</v>
      </c>
      <c r="AA10" s="65" t="s">
        <v>122</v>
      </c>
      <c r="AB10" s="65" t="s">
        <v>122</v>
      </c>
      <c r="AC10" s="81">
        <f t="shared" si="1"/>
        <v>0</v>
      </c>
    </row>
    <row r="11" spans="1:29" s="69" customFormat="1" ht="30" customHeight="1" x14ac:dyDescent="0.25">
      <c r="A11" s="7">
        <v>8</v>
      </c>
      <c r="B11" s="7" t="s">
        <v>32</v>
      </c>
      <c r="C11" s="25" t="s">
        <v>75</v>
      </c>
      <c r="D11" s="73">
        <f t="shared" ref="D11:K11" si="3">SUM(D8:D10)</f>
        <v>143660.31</v>
      </c>
      <c r="E11" s="73">
        <f t="shared" si="3"/>
        <v>132432.34</v>
      </c>
      <c r="F11" s="73">
        <f t="shared" si="3"/>
        <v>158670.95000000001</v>
      </c>
      <c r="G11" s="73">
        <f t="shared" si="3"/>
        <v>186601.2</v>
      </c>
      <c r="H11" s="73">
        <f t="shared" si="3"/>
        <v>105938.22</v>
      </c>
      <c r="I11" s="73">
        <f t="shared" si="3"/>
        <v>60236.840000000004</v>
      </c>
      <c r="J11" s="73">
        <f t="shared" si="3"/>
        <v>78034.240000000005</v>
      </c>
      <c r="K11" s="73">
        <f t="shared" si="3"/>
        <v>78092.84</v>
      </c>
      <c r="L11" s="77">
        <v>25594.52</v>
      </c>
      <c r="M11" s="78">
        <v>32811.14</v>
      </c>
      <c r="N11" s="65" t="s">
        <v>94</v>
      </c>
      <c r="O11" s="65" t="s">
        <v>94</v>
      </c>
      <c r="P11" s="82">
        <f t="shared" si="0"/>
        <v>1002072.6</v>
      </c>
      <c r="Q11" s="80">
        <f>SUM(Q8:Q9)</f>
        <v>38006.89</v>
      </c>
      <c r="R11" s="80">
        <f>SUM(R8:R9)</f>
        <v>33176.44</v>
      </c>
      <c r="S11" s="80">
        <f>SUM(S8:S9)</f>
        <v>41529.18</v>
      </c>
      <c r="T11" s="80">
        <f>SUM(T8:T9)</f>
        <v>56846.41</v>
      </c>
      <c r="U11" s="80">
        <f>SUM(U8:U9)</f>
        <v>32585</v>
      </c>
      <c r="V11" s="80" t="s">
        <v>125</v>
      </c>
      <c r="W11" s="80" t="s">
        <v>157</v>
      </c>
      <c r="X11" s="80" t="s">
        <v>158</v>
      </c>
      <c r="Y11" s="80" t="s">
        <v>159</v>
      </c>
      <c r="Z11" s="80" t="s">
        <v>174</v>
      </c>
      <c r="AA11" s="80" t="s">
        <v>175</v>
      </c>
      <c r="AB11" s="80" t="s">
        <v>188</v>
      </c>
      <c r="AC11" s="81">
        <f t="shared" si="1"/>
        <v>202143.92</v>
      </c>
    </row>
  </sheetData>
  <mergeCells count="4">
    <mergeCell ref="D1:O1"/>
    <mergeCell ref="Q1:AB1"/>
    <mergeCell ref="D2:O2"/>
    <mergeCell ref="Q2:AB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TEC1</vt:lpstr>
      <vt:lpstr>TEC2</vt:lpstr>
      <vt:lpstr>CS</vt:lpstr>
      <vt:lpstr>AGR</vt:lpstr>
      <vt:lpstr>Jur</vt:lpstr>
      <vt:lpstr>ALE</vt:lpstr>
      <vt:lpstr>COM</vt:lpstr>
      <vt:lpstr>JUC</vt:lpstr>
      <vt:lpstr>AGR!Área_de_impresión</vt:lpstr>
      <vt:lpstr>ALE!Área_de_impresión</vt:lpstr>
      <vt:lpstr>COM!Área_de_impresión</vt:lpstr>
      <vt:lpstr>CS!Área_de_impresión</vt:lpstr>
      <vt:lpstr>JUC!Área_de_impresión</vt:lpstr>
      <vt:lpstr>Jur!Área_de_impresión</vt:lpstr>
      <vt:lpstr>JUC!Títulos_a_imprimir</vt:lpstr>
      <vt:lpstr>Jur!Títulos_a_imprimir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Myriam Hidekel Lima Vazquez</cp:lastModifiedBy>
  <cp:lastPrinted>2023-04-03T19:26:11Z</cp:lastPrinted>
  <dcterms:created xsi:type="dcterms:W3CDTF">2022-02-17T22:47:09Z</dcterms:created>
  <dcterms:modified xsi:type="dcterms:W3CDTF">2024-03-14T16:57:44Z</dcterms:modified>
</cp:coreProperties>
</file>