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alvarez\Desktop\David Monterrey\Enlace\Formatos de Transparencia\Tablas Estadisticas\"/>
    </mc:Choice>
  </mc:AlternateContent>
  <bookViews>
    <workbookView xWindow="-120" yWindow="-120" windowWidth="20730" windowHeight="11040" activeTab="7"/>
  </bookViews>
  <sheets>
    <sheet name="GAP" sheetId="6" r:id="rId1"/>
    <sheet name="GGAI(CAHA)" sheetId="9" r:id="rId2"/>
    <sheet name="CS" sheetId="3" r:id="rId3"/>
    <sheet name="AGR" sheetId="7" r:id="rId4"/>
    <sheet name="DAJ" sheetId="4" r:id="rId5"/>
    <sheet name="ALE" sheetId="5" r:id="rId6"/>
    <sheet name="COM" sheetId="2" r:id="rId7"/>
    <sheet name="JUC" sheetId="10" r:id="rId8"/>
  </sheets>
  <definedNames>
    <definedName name="_xlnm.Print_Area" localSheetId="3">AGR!$B$1:$O$4</definedName>
    <definedName name="_xlnm.Print_Area" localSheetId="5">ALE!$A$1:$O$4</definedName>
    <definedName name="_xlnm.Print_Area" localSheetId="6">COM!$A$1:$Q$31</definedName>
    <definedName name="_xlnm.Print_Area" localSheetId="2">CS!$A$1:$P$8</definedName>
    <definedName name="_xlnm.Print_Area" localSheetId="4">DAJ!$A$1:$P$40</definedName>
    <definedName name="_xlnm.Print_Area" localSheetId="0">GAP!$A$1:$AO$17</definedName>
    <definedName name="_xlnm.Print_Area" localSheetId="7">JUC!$A$1:$O$11</definedName>
    <definedName name="_xlnm.Print_Titles" localSheetId="4">DAJ!$3:$3</definedName>
    <definedName name="_xlnm.Print_Titles" localSheetId="7">JUC!$3:$3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0" l="1"/>
  <c r="Q11" i="10" s="1"/>
  <c r="Q7" i="10"/>
  <c r="P11" i="10" l="1"/>
  <c r="P7" i="10"/>
  <c r="AE34" i="4"/>
  <c r="AE30" i="4"/>
  <c r="AE25" i="4"/>
  <c r="AE23" i="4"/>
  <c r="AE18" i="4"/>
  <c r="AE16" i="4"/>
  <c r="AE11" i="4"/>
  <c r="AE9" i="4"/>
  <c r="AE4" i="4"/>
  <c r="AD40" i="4" l="1"/>
  <c r="AD39" i="4"/>
  <c r="AD38" i="4"/>
  <c r="AD37" i="4"/>
  <c r="AD34" i="4"/>
  <c r="AD30" i="4"/>
  <c r="AD25" i="4"/>
  <c r="AD23" i="4"/>
  <c r="AD18" i="4"/>
  <c r="AD16" i="4"/>
  <c r="AD11" i="4"/>
  <c r="AD9" i="4"/>
  <c r="AD4" i="4"/>
  <c r="AE24" i="2" l="1"/>
  <c r="AI24" i="2"/>
  <c r="AD24" i="2"/>
  <c r="AF24" i="2"/>
  <c r="AG24" i="2"/>
  <c r="AH24" i="2"/>
  <c r="AJ24" i="2"/>
  <c r="AK24" i="2"/>
  <c r="AL24" i="2"/>
  <c r="AP24" i="2" l="1"/>
  <c r="AP18" i="2"/>
  <c r="AP19" i="2"/>
  <c r="AP20" i="2"/>
  <c r="AP21" i="2"/>
  <c r="AP22" i="2"/>
  <c r="AP23" i="2"/>
  <c r="AP17" i="2"/>
  <c r="AO17" i="6" l="1"/>
  <c r="AB17" i="6"/>
  <c r="O17" i="6"/>
  <c r="O16" i="6"/>
  <c r="AB16" i="6"/>
  <c r="AO16" i="6"/>
  <c r="AO8" i="9"/>
  <c r="AB8" i="9"/>
  <c r="O8" i="9"/>
  <c r="AB10" i="10" l="1"/>
  <c r="AB9" i="10"/>
  <c r="AB8" i="10"/>
  <c r="AB7" i="10"/>
  <c r="AB6" i="10"/>
  <c r="AB5" i="10"/>
  <c r="AB4" i="10"/>
  <c r="D7" i="10"/>
  <c r="E7" i="10"/>
  <c r="F7" i="10"/>
  <c r="G7" i="10"/>
  <c r="H7" i="10"/>
  <c r="I7" i="10"/>
  <c r="J7" i="10"/>
  <c r="K7" i="10"/>
  <c r="D11" i="10"/>
  <c r="E11" i="10"/>
  <c r="F11" i="10"/>
  <c r="G11" i="10"/>
  <c r="H11" i="10"/>
  <c r="I11" i="10"/>
  <c r="J11" i="10"/>
  <c r="K11" i="10"/>
  <c r="AB11" i="10" l="1"/>
  <c r="AP16" i="2"/>
  <c r="AP15" i="2"/>
  <c r="AP14" i="2"/>
  <c r="AP13" i="2"/>
  <c r="AP12" i="2"/>
  <c r="AP11" i="2"/>
  <c r="AP10" i="2"/>
  <c r="AP9" i="2"/>
  <c r="AP8" i="2"/>
  <c r="AP7" i="2"/>
  <c r="AP6" i="2"/>
  <c r="AP5" i="2"/>
  <c r="AP4" i="2"/>
  <c r="AO4" i="5"/>
  <c r="AP40" i="4"/>
  <c r="AP39" i="4"/>
  <c r="AP38" i="4"/>
  <c r="AP37" i="4"/>
  <c r="AP36" i="4"/>
  <c r="AP35" i="4"/>
  <c r="AP34" i="4"/>
  <c r="AP33" i="4"/>
  <c r="AP32" i="4"/>
  <c r="AP31" i="4"/>
  <c r="AP30" i="4"/>
  <c r="AP29" i="4"/>
  <c r="AP28" i="4"/>
  <c r="AP27" i="4"/>
  <c r="AP26" i="4"/>
  <c r="AP25" i="4"/>
  <c r="AP24" i="4"/>
  <c r="AP23" i="4"/>
  <c r="AP22" i="4"/>
  <c r="AP21" i="4"/>
  <c r="AP20" i="4"/>
  <c r="AP19" i="4"/>
  <c r="AP18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5" i="4"/>
  <c r="AP4" i="4"/>
  <c r="AO4" i="7"/>
  <c r="AP10" i="3"/>
  <c r="AP9" i="3"/>
  <c r="AP8" i="3"/>
  <c r="AP7" i="3"/>
  <c r="AP6" i="3"/>
  <c r="AP5" i="3"/>
  <c r="AP4" i="3"/>
  <c r="AO7" i="9"/>
  <c r="AO6" i="9"/>
  <c r="AO5" i="9"/>
  <c r="AO15" i="6"/>
  <c r="AO14" i="6"/>
  <c r="AO13" i="6"/>
  <c r="AO12" i="6"/>
  <c r="AO11" i="6"/>
  <c r="AO10" i="6"/>
  <c r="AO9" i="6"/>
  <c r="AO8" i="6"/>
  <c r="AO7" i="6"/>
  <c r="AO6" i="6"/>
  <c r="AO5" i="6"/>
  <c r="AO4" i="6"/>
  <c r="AC7" i="3" l="1"/>
  <c r="AC10" i="3"/>
  <c r="AC9" i="3"/>
  <c r="P10" i="3"/>
  <c r="P9" i="3"/>
  <c r="AB15" i="6" l="1"/>
  <c r="AB14" i="6"/>
  <c r="AB13" i="6"/>
  <c r="AB12" i="6"/>
  <c r="AB11" i="6"/>
  <c r="AB10" i="6"/>
  <c r="AB9" i="6"/>
  <c r="AB8" i="6"/>
  <c r="AB7" i="6"/>
  <c r="AB6" i="6"/>
  <c r="AB5" i="6"/>
  <c r="AB4" i="6"/>
  <c r="AB7" i="9"/>
  <c r="AB6" i="9"/>
  <c r="AB5" i="9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8" i="2"/>
  <c r="AC7" i="2"/>
  <c r="AC6" i="2"/>
  <c r="AC5" i="2"/>
  <c r="AC4" i="2"/>
  <c r="AB4" i="5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/>
  <c r="AB4" i="7"/>
  <c r="AC8" i="3"/>
  <c r="AC4" i="3"/>
  <c r="AC24" i="2" l="1"/>
  <c r="AC9" i="2"/>
  <c r="AC6" i="3"/>
  <c r="AC5" i="3"/>
  <c r="P5" i="2"/>
  <c r="P6" i="2"/>
  <c r="P7" i="2"/>
  <c r="P8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4" i="2"/>
  <c r="P7" i="3" l="1"/>
  <c r="P8" i="3"/>
  <c r="M24" i="2" l="1"/>
  <c r="J24" i="2"/>
  <c r="K24" i="2"/>
  <c r="L24" i="2"/>
  <c r="K38" i="4" l="1"/>
  <c r="J38" i="4"/>
  <c r="I38" i="4"/>
  <c r="H38" i="4"/>
  <c r="K34" i="4"/>
  <c r="J34" i="4"/>
  <c r="I34" i="4"/>
  <c r="H34" i="4"/>
  <c r="J33" i="4"/>
  <c r="I33" i="4"/>
  <c r="H33" i="4"/>
  <c r="K32" i="4"/>
  <c r="J32" i="4"/>
  <c r="I32" i="4"/>
  <c r="H32" i="4"/>
  <c r="K30" i="4"/>
  <c r="J30" i="4"/>
  <c r="I30" i="4"/>
  <c r="H30" i="4"/>
  <c r="K25" i="4"/>
  <c r="J25" i="4"/>
  <c r="I25" i="4"/>
  <c r="H25" i="4"/>
  <c r="H24" i="4"/>
  <c r="K23" i="4"/>
  <c r="J23" i="4"/>
  <c r="I23" i="4"/>
  <c r="H23" i="4"/>
  <c r="H20" i="4"/>
  <c r="J18" i="4"/>
  <c r="I18" i="4"/>
  <c r="H18" i="4"/>
  <c r="H17" i="4"/>
  <c r="K16" i="4"/>
  <c r="J16" i="4"/>
  <c r="I16" i="4"/>
  <c r="H16" i="4"/>
  <c r="H13" i="4"/>
  <c r="K11" i="4"/>
  <c r="J11" i="4"/>
  <c r="I11" i="4"/>
  <c r="H11" i="4"/>
  <c r="H10" i="4"/>
  <c r="K9" i="4"/>
  <c r="J9" i="4"/>
  <c r="I9" i="4"/>
  <c r="H9" i="4"/>
  <c r="J6" i="4"/>
  <c r="I6" i="4"/>
  <c r="K4" i="4"/>
  <c r="J4" i="4"/>
  <c r="I4" i="4"/>
  <c r="H4" i="4"/>
  <c r="O7" i="9" l="1"/>
  <c r="O6" i="9"/>
  <c r="O5" i="9"/>
  <c r="K5" i="3" l="1"/>
  <c r="K6" i="3" s="1"/>
  <c r="J5" i="3"/>
  <c r="J6" i="3" s="1"/>
  <c r="I5" i="3"/>
  <c r="I6" i="3" s="1"/>
  <c r="H5" i="3"/>
  <c r="H6" i="3" s="1"/>
  <c r="I9" i="2" l="1"/>
  <c r="I24" i="2" s="1"/>
  <c r="H9" i="2"/>
  <c r="H24" i="2" s="1"/>
  <c r="G9" i="2" l="1"/>
  <c r="G24" i="2" s="1"/>
  <c r="G38" i="4" l="1"/>
  <c r="G34" i="4"/>
  <c r="G24" i="4"/>
  <c r="G17" i="4"/>
  <c r="G10" i="4"/>
  <c r="G32" i="4" l="1"/>
  <c r="G25" i="4"/>
  <c r="G18" i="4"/>
  <c r="G11" i="4"/>
  <c r="G4" i="4"/>
  <c r="G20" i="4"/>
  <c r="G13" i="4"/>
  <c r="G6" i="4"/>
  <c r="G9" i="4"/>
  <c r="G30" i="4"/>
  <c r="G23" i="4"/>
  <c r="G16" i="4"/>
  <c r="F6" i="3" l="1"/>
  <c r="F9" i="2" l="1"/>
  <c r="F24" i="2" s="1"/>
  <c r="F38" i="4" l="1"/>
  <c r="F24" i="4" l="1"/>
  <c r="F17" i="4"/>
  <c r="F10" i="4"/>
  <c r="F34" i="4"/>
  <c r="F32" i="4"/>
  <c r="F20" i="4"/>
  <c r="F23" i="4"/>
  <c r="F13" i="4"/>
  <c r="F16" i="4"/>
  <c r="F6" i="4"/>
  <c r="F9" i="4"/>
  <c r="F25" i="4"/>
  <c r="F11" i="4"/>
  <c r="F4" i="4"/>
  <c r="F33" i="4"/>
  <c r="F30" i="4"/>
  <c r="F18" i="4"/>
  <c r="E34" i="4" l="1"/>
  <c r="E25" i="4"/>
  <c r="E18" i="4"/>
  <c r="E11" i="4"/>
  <c r="E4" i="4"/>
  <c r="E33" i="4"/>
  <c r="E32" i="4"/>
  <c r="E20" i="4"/>
  <c r="E13" i="4"/>
  <c r="E6" i="4"/>
  <c r="E9" i="4"/>
  <c r="E30" i="4"/>
  <c r="E23" i="4"/>
  <c r="E16" i="4"/>
  <c r="E38" i="4" l="1"/>
  <c r="O4" i="7" l="1"/>
  <c r="O4" i="6"/>
  <c r="O5" i="6"/>
  <c r="O6" i="6"/>
  <c r="O7" i="6"/>
  <c r="O8" i="6"/>
  <c r="O9" i="6"/>
  <c r="O10" i="6"/>
  <c r="O11" i="6"/>
  <c r="O12" i="6"/>
  <c r="O13" i="6"/>
  <c r="O14" i="6"/>
  <c r="O15" i="6"/>
  <c r="O4" i="5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5" i="3"/>
  <c r="E6" i="3"/>
  <c r="D6" i="3"/>
  <c r="E9" i="2"/>
  <c r="E24" i="2" s="1"/>
  <c r="D9" i="2"/>
  <c r="P9" i="2" l="1"/>
  <c r="D24" i="2"/>
  <c r="P24" i="2" s="1"/>
  <c r="P4" i="3"/>
  <c r="P6" i="3"/>
</calcChain>
</file>

<file path=xl/sharedStrings.xml><?xml version="1.0" encoding="utf-8"?>
<sst xmlns="http://schemas.openxmlformats.org/spreadsheetml/2006/main" count="596" uniqueCount="148">
  <si>
    <t>No.</t>
  </si>
  <si>
    <t>Nombre de 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</si>
  <si>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</si>
  <si>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</si>
  <si>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</si>
  <si>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</si>
  <si>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</si>
  <si>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</si>
  <si>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</si>
  <si>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</si>
  <si>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</si>
  <si>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</si>
  <si>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</si>
  <si>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</si>
  <si>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</si>
  <si>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</si>
  <si>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Permisos autorizados  (art. 23 del Reglamento para el Uso de la Vía Pública en el Ejercicio de la Actividad Comercial en Monterrey,N.L.)</t>
  </si>
  <si>
    <t>*(1) Permisos eventuales o de temporada autorizados (art. 33 del Reglamento para el Uso de la Vía Pública en el Ejercicio de la Actividad Comercial en Monterrey,N.L.)</t>
  </si>
  <si>
    <t>*(3) Reubicación de comerciantes de vía pública</t>
  </si>
  <si>
    <t>Operativos</t>
  </si>
  <si>
    <t>*(2) Operativos de comercio en vía pública</t>
  </si>
  <si>
    <t>*(2) Operativos en mercados rodantes</t>
  </si>
  <si>
    <t>Total de operativos</t>
  </si>
  <si>
    <t>Atención ciudadana</t>
  </si>
  <si>
    <t>Atención ciudadana en las oficinas de la Dirección de Comercio</t>
  </si>
  <si>
    <t xml:space="preserve">Quejas recibidas </t>
  </si>
  <si>
    <t xml:space="preserve">Quejas resueltas </t>
  </si>
  <si>
    <t>Retención, bajas, multas y/o amonestaciones</t>
  </si>
  <si>
    <t xml:space="preserve">Retenciones - Actas de levantamiento de enseres </t>
  </si>
  <si>
    <t>Bajas de retenciones por perecederos</t>
  </si>
  <si>
    <t>Amonestaciones</t>
  </si>
  <si>
    <t>Multas aplicadas</t>
  </si>
  <si>
    <t>Ingresos</t>
  </si>
  <si>
    <t>Ingreso recaudado por multas (cta. 4181)</t>
  </si>
  <si>
    <t>Ingresos por ocupación vía pública  (cta. 2810)</t>
  </si>
  <si>
    <t>Ingresos por ocupación vía pública provisional (cta. 2811)</t>
  </si>
  <si>
    <t>Aportación por administración (cta. 2814)</t>
  </si>
  <si>
    <t>Mercados rodantes (cta 2815)</t>
  </si>
  <si>
    <t>Ingresos por mercados municipales</t>
  </si>
  <si>
    <t>Ingresos por baños públicos</t>
  </si>
  <si>
    <t>Ingresos totales</t>
  </si>
  <si>
    <t>Comercio</t>
  </si>
  <si>
    <t xml:space="preserve">Secretaría del Ayuntamiento - Dirección de Comercio </t>
  </si>
  <si>
    <t>NOTA:</t>
  </si>
  <si>
    <t>*(1) Los permisos eventuales o de temporada se registran en las cuentas 2811, dichos permisos no incrementan el Padrón de Comerciantes.</t>
  </si>
  <si>
    <t>*(2) Operativo significa acciones especiales de inspección y aplicación del reglamento para efectos de reubicación y/o retención de mercancías,  implantadas para verificar aspectos específicos.</t>
  </si>
  <si>
    <t>*(3) Los oferentes de puestos fijos y semifijos que cuentan con un numero de folio otorgado por la Dirección de Comercio, tienen asignada una dirección de trabajo autorizada, se consideran reubicaciones, cuando en beneficio de los comerciantes o de la ciudadanía, se les asigna una ubicación de trabajo diferente, aún sin cambiar al oferente del domicilio señalado en su folio.</t>
  </si>
  <si>
    <t>Nota: La Cuenta 2814 (Ene, Feb-2012) fue reportada por la Direccion de Ingresos en virtud de haber aportacion en dicho rubro.</t>
  </si>
  <si>
    <t>Expedición de Pasaportes</t>
  </si>
  <si>
    <t>Total de tramites</t>
  </si>
  <si>
    <t>Ingreso por cuota municipal por expedición de pasaportes</t>
  </si>
  <si>
    <t>Total de ingresos Municipales</t>
  </si>
  <si>
    <t>Reclutamiento</t>
  </si>
  <si>
    <t>Informacion para la inscripción de jovenes al SMN</t>
  </si>
  <si>
    <t>Jovenes que se registraron para su servicio SMN</t>
  </si>
  <si>
    <t>Secretaría del Ayuntamiento - Dirección de Concertación Social</t>
  </si>
  <si>
    <t>Asuntos Recibidos</t>
  </si>
  <si>
    <t>Amparo</t>
  </si>
  <si>
    <t>Fiscal</t>
  </si>
  <si>
    <t>Penal</t>
  </si>
  <si>
    <t>Civil</t>
  </si>
  <si>
    <t>Mercantil</t>
  </si>
  <si>
    <t>Concencioso Administrativo</t>
  </si>
  <si>
    <t>CEDH</t>
  </si>
  <si>
    <t>Asuntos Concluidos</t>
  </si>
  <si>
    <t>Asuntos a Favor del Municipio</t>
  </si>
  <si>
    <t>Asuntos en Contra del Municipio</t>
  </si>
  <si>
    <t>Revisiones</t>
  </si>
  <si>
    <t>Consultas</t>
  </si>
  <si>
    <t>Contratos</t>
  </si>
  <si>
    <t>Certificaciones</t>
  </si>
  <si>
    <t>Personas Detenidas</t>
  </si>
  <si>
    <t>Centro</t>
  </si>
  <si>
    <t>Norte</t>
  </si>
  <si>
    <t>Sur</t>
  </si>
  <si>
    <t>Total</t>
  </si>
  <si>
    <t>Fortalecimiento del Sistema Juridico Municipal para La Prevención de Controversias</t>
  </si>
  <si>
    <t>No. de Reglamentos Revisados</t>
  </si>
  <si>
    <t>No. de Reglamentos Adecuados</t>
  </si>
  <si>
    <t>Recursos de Inconformidad</t>
  </si>
  <si>
    <t xml:space="preserve">Recursos de Inconformidad Recibidos </t>
  </si>
  <si>
    <t>Recursos de Inconformidad Concluidos</t>
  </si>
  <si>
    <t>Recursos de Inconformidad a Favor</t>
  </si>
  <si>
    <t>Recursos de Inconformidad en Contra</t>
  </si>
  <si>
    <t>Anuencia Municipal para Permisos de Alcoholes</t>
  </si>
  <si>
    <t>Sesiones Ordinarias realizadas</t>
  </si>
  <si>
    <t>Sesiones Extraordinarias realizadas</t>
  </si>
  <si>
    <t>Sesiones Solemnes realizadas</t>
  </si>
  <si>
    <t>Acuerdos por Unanimidad</t>
  </si>
  <si>
    <t>Acuerdos por Mayoría</t>
  </si>
  <si>
    <t>Total de Acuerdos del Ayuntamiento</t>
  </si>
  <si>
    <t>Gaceta Municipal (Total de Publicaciones)</t>
  </si>
  <si>
    <t>Expedición y/o Reforma a los Reglamentos</t>
  </si>
  <si>
    <t>Elaboración de Propuestas de Dictámenes y Puntos de Acuerdo</t>
  </si>
  <si>
    <t>Personas Atendidas en el Archivo Histórico</t>
  </si>
  <si>
    <t>Solicitud y/o búsqueda de documentos, copias simples y/o certificadas</t>
  </si>
  <si>
    <t>Cantidad de asesorías y orientaciones a actores de grupos religiosos</t>
  </si>
  <si>
    <t>Secretaría del Ayuntamiento - Dirección de Atención a Grupos Religiosos</t>
  </si>
  <si>
    <t>Secretaría del Ayuntamiento - Dirección de Asuntos Jurídicos</t>
  </si>
  <si>
    <t>Secretaría del Ayuntamiento - Dirección de Verificación, Inspección y Vigilancia</t>
  </si>
  <si>
    <t>Secretaría del Ayuntamiento - Dirección de Gobierno y Asuntos Políticos</t>
  </si>
  <si>
    <t>Nombre del indicador/variable</t>
  </si>
  <si>
    <t>-</t>
  </si>
  <si>
    <t>Realizar sesiones de Comisiones con miembros del Cabildo</t>
  </si>
  <si>
    <t>Integración de Carpetas de Archivos de sesiones de Cabildo</t>
  </si>
  <si>
    <t>Secretaría del Ayuntamiento - Dirección General de Gobierno y Asuntos Interinstitucionales</t>
  </si>
  <si>
    <t>Certificaciones realizadas</t>
  </si>
  <si>
    <t>Publicaciones realizadas en el Portal del Archivo Histórico</t>
  </si>
  <si>
    <t>Digitalizaciones al Acervo Histórico</t>
  </si>
  <si>
    <t>$ -</t>
  </si>
  <si>
    <t>Estadística 2023</t>
  </si>
  <si>
    <t>Total 2022</t>
  </si>
  <si>
    <t>Total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</si>
  <si>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</si>
  <si>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</si>
  <si>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</si>
  <si>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</si>
  <si>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</si>
  <si>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</si>
  <si>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</si>
  <si>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</si>
  <si>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</si>
  <si>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</si>
  <si>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</si>
  <si>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</si>
  <si>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Solicitudes de Mediacion Atendidas</t>
  </si>
  <si>
    <t>Cantidad de Ciudadanos Atendidos</t>
  </si>
  <si>
    <t>Mediacion</t>
  </si>
  <si>
    <t>Total 2024</t>
  </si>
  <si>
    <t>Secretaría del Ayuntamiento - Dirección de Justicia Civica</t>
  </si>
  <si>
    <t>Cantidad de publicaciones realizadas en el períodico oficial (POE)</t>
  </si>
  <si>
    <t xml:space="preserve"> $124.548,62 </t>
  </si>
  <si>
    <t>Estadística 2025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</si>
  <si>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</si>
  <si>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</si>
  <si>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</si>
  <si>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</si>
  <si>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</si>
  <si>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</si>
  <si>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</si>
  <si>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</si>
  <si>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</si>
  <si>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</si>
  <si>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</si>
  <si>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</si>
  <si>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Total 2025</t>
  </si>
  <si>
    <t>Secretaría del Ayuntamiento - Dirección de Verificación, Inspección y Vigilancia
Tablas Estadísticas 2025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</si>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</sst>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#,##0_ ;\-#,##0\ "/>
    <numFmt numFmtId="165" formatCode="_(&quot;$&quot;* #,##0.00_);_(&quot;$&quot;* \(#,##0.00\);_(&quot;$&quot;* &quot;-&quot;??_);_(@_)"/>
    <numFmt numFmtId="166" formatCode="&quot;$&quot;#,##0.00;[Red]&quot;$&quot;#,##0.00"/>
    <numFmt numFmtId="167" formatCode="_-&quot;$&quot;* #,##0.00_-;\-&quot;$&quot;* #,##0.00_-;_-&quot;$&quot;* &quot;-&quot;??_-;_-@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Cambria"/>
      <family val="1"/>
    </font>
    <font>
      <sz val="9"/>
      <color rgb="FF000000"/>
      <name val="Cambria"/>
      <family val="1"/>
    </font>
    <font>
      <sz val="9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Cambria"/>
      <family val="1"/>
    </font>
    <font>
      <b/>
      <sz val="10"/>
      <name val="Cambria"/>
      <family val="1"/>
    </font>
    <font>
      <sz val="11"/>
      <name val="Calibri"/>
      <family val="2"/>
    </font>
    <font>
      <sz val="11"/>
      <color theme="0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002060"/>
        <bgColor rgb="FF00206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22">
    <xf numFmtId="0" fontId="0" fillId="0" borderId="0"/>
    <xf numFmtId="44" fontId="4" fillId="0" borderId="0" applyFont="0" applyFill="0" applyBorder="0" applyAlignment="0" applyProtection="0"/>
    <xf numFmtId="0" fontId="1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5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164" fontId="0" fillId="0" borderId="1" xfId="1" applyNumberFormat="1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165" fontId="11" fillId="5" borderId="4" xfId="0" applyNumberFormat="1" applyFont="1" applyFill="1" applyBorder="1" applyAlignment="1">
      <alignment horizontal="center" vertical="center" wrapText="1"/>
    </xf>
    <xf numFmtId="165" fontId="12" fillId="5" borderId="4" xfId="0" applyNumberFormat="1" applyFont="1" applyFill="1" applyBorder="1" applyAlignment="1">
      <alignment horizontal="center" vertical="center" wrapText="1"/>
    </xf>
    <xf numFmtId="165" fontId="12" fillId="6" borderId="4" xfId="0" applyNumberFormat="1" applyFont="1" applyFill="1" applyBorder="1" applyAlignment="1">
      <alignment horizontal="center" vertical="center" wrapText="1"/>
    </xf>
    <xf numFmtId="3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3" applyNumberFormat="1" applyFont="1" applyBorder="1" applyAlignment="1">
      <alignment horizontal="center" vertical="center"/>
    </xf>
    <xf numFmtId="7" fontId="0" fillId="0" borderId="1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8" fontId="0" fillId="0" borderId="5" xfId="0" applyNumberFormat="1" applyBorder="1" applyAlignment="1">
      <alignment horizontal="center" vertical="center" wrapText="1"/>
    </xf>
    <xf numFmtId="8" fontId="0" fillId="0" borderId="6" xfId="0" applyNumberFormat="1" applyBorder="1" applyAlignment="1">
      <alignment horizontal="center" vertical="center" wrapText="1"/>
    </xf>
    <xf numFmtId="164" fontId="0" fillId="0" borderId="1" xfId="5" applyNumberFormat="1" applyFont="1" applyBorder="1" applyAlignment="1">
      <alignment horizontal="center" vertical="center"/>
    </xf>
    <xf numFmtId="164" fontId="0" fillId="0" borderId="1" xfId="5" applyNumberFormat="1" applyFont="1" applyFill="1" applyBorder="1" applyAlignment="1">
      <alignment horizontal="center" vertical="center"/>
    </xf>
    <xf numFmtId="7" fontId="0" fillId="0" borderId="1" xfId="5" applyNumberFormat="1" applyFont="1" applyBorder="1" applyAlignment="1">
      <alignment horizontal="center" vertical="center"/>
    </xf>
    <xf numFmtId="3" fontId="0" fillId="0" borderId="1" xfId="5" applyNumberFormat="1" applyFont="1" applyBorder="1" applyAlignment="1">
      <alignment horizontal="center" vertical="center"/>
    </xf>
    <xf numFmtId="44" fontId="0" fillId="0" borderId="1" xfId="6" applyFont="1" applyBorder="1" applyAlignment="1">
      <alignment horizontal="center" vertical="center"/>
    </xf>
    <xf numFmtId="4" fontId="0" fillId="0" borderId="0" xfId="0" applyNumberFormat="1"/>
    <xf numFmtId="164" fontId="0" fillId="0" borderId="1" xfId="10" applyNumberFormat="1" applyFont="1" applyBorder="1" applyAlignment="1">
      <alignment horizontal="center" vertical="center"/>
    </xf>
    <xf numFmtId="3" fontId="0" fillId="0" borderId="1" xfId="10" applyNumberFormat="1" applyFont="1" applyBorder="1" applyAlignment="1">
      <alignment horizontal="center" vertical="center"/>
    </xf>
    <xf numFmtId="7" fontId="0" fillId="0" borderId="1" xfId="10" applyNumberFormat="1" applyFont="1" applyBorder="1" applyAlignment="1">
      <alignment horizontal="center" vertical="center"/>
    </xf>
    <xf numFmtId="44" fontId="0" fillId="0" borderId="1" xfId="10" applyFont="1" applyBorder="1" applyAlignment="1">
      <alignment horizontal="center" vertical="center"/>
    </xf>
    <xf numFmtId="44" fontId="12" fillId="5" borderId="4" xfId="0" applyNumberFormat="1" applyFont="1" applyFill="1" applyBorder="1" applyAlignment="1">
      <alignment horizontal="center" vertical="center" wrapText="1"/>
    </xf>
    <xf numFmtId="8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0" fillId="0" borderId="1" xfId="6" applyNumberFormat="1" applyFont="1" applyBorder="1" applyAlignment="1">
      <alignment horizontal="center" vertical="center"/>
    </xf>
    <xf numFmtId="0" fontId="0" fillId="0" borderId="1" xfId="10" applyNumberFormat="1" applyFont="1" applyBorder="1" applyAlignment="1">
      <alignment horizontal="center" vertical="center"/>
    </xf>
    <xf numFmtId="49" fontId="15" fillId="7" borderId="0" xfId="0" applyNumberFormat="1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44" fontId="0" fillId="8" borderId="1" xfId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3" borderId="7" xfId="0" applyFill="1" applyBorder="1" applyAlignment="1">
      <alignment horizontal="justify" vertical="center"/>
    </xf>
    <xf numFmtId="0" fontId="0" fillId="0" borderId="7" xfId="0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justify" vertical="center"/>
    </xf>
    <xf numFmtId="0" fontId="0" fillId="0" borderId="8" xfId="0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0" fillId="0" borderId="0" xfId="0" applyAlignment="1">
      <alignment wrapText="1"/>
    </xf>
    <xf numFmtId="0" fontId="17" fillId="0" borderId="0" xfId="0" applyFont="1"/>
    <xf numFmtId="44" fontId="17" fillId="0" borderId="12" xfId="1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 vertical="center"/>
    </xf>
    <xf numFmtId="44" fontId="17" fillId="0" borderId="1" xfId="10" applyFont="1" applyFill="1" applyBorder="1" applyAlignment="1">
      <alignment horizontal="center" vertical="center"/>
    </xf>
    <xf numFmtId="44" fontId="17" fillId="0" borderId="1" xfId="5" applyFont="1" applyFill="1" applyBorder="1" applyAlignment="1">
      <alignment horizontal="center" vertical="center"/>
    </xf>
    <xf numFmtId="44" fontId="17" fillId="0" borderId="1" xfId="1" applyFont="1" applyFill="1" applyBorder="1" applyAlignment="1">
      <alignment horizontal="center" vertical="center"/>
    </xf>
    <xf numFmtId="7" fontId="17" fillId="0" borderId="1" xfId="10" applyNumberFormat="1" applyFont="1" applyFill="1" applyBorder="1" applyAlignment="1">
      <alignment horizontal="center" vertical="center"/>
    </xf>
    <xf numFmtId="7" fontId="17" fillId="0" borderId="1" xfId="5" applyNumberFormat="1" applyFont="1" applyFill="1" applyBorder="1" applyAlignment="1">
      <alignment horizontal="center" vertical="center"/>
    </xf>
    <xf numFmtId="7" fontId="17" fillId="0" borderId="1" xfId="1" applyNumberFormat="1" applyFont="1" applyFill="1" applyBorder="1" applyAlignment="1">
      <alignment horizontal="center" vertical="center"/>
    </xf>
    <xf numFmtId="3" fontId="17" fillId="0" borderId="1" xfId="10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/>
    </xf>
    <xf numFmtId="164" fontId="17" fillId="0" borderId="1" xfId="10" applyNumberFormat="1" applyFont="1" applyFill="1" applyBorder="1" applyAlignment="1">
      <alignment horizontal="center" vertical="center"/>
    </xf>
    <xf numFmtId="164" fontId="17" fillId="0" borderId="1" xfId="5" applyNumberFormat="1" applyFont="1" applyFill="1" applyBorder="1" applyAlignment="1">
      <alignment horizontal="center" vertical="center"/>
    </xf>
    <xf numFmtId="1" fontId="17" fillId="0" borderId="1" xfId="1" applyNumberFormat="1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8" fontId="17" fillId="0" borderId="12" xfId="1" applyNumberFormat="1" applyFont="1" applyFill="1" applyBorder="1" applyAlignment="1">
      <alignment horizontal="center" vertical="center"/>
    </xf>
    <xf numFmtId="166" fontId="0" fillId="8" borderId="1" xfId="1" applyNumberFormat="1" applyFont="1" applyFill="1" applyBorder="1" applyAlignment="1">
      <alignment horizontal="center" vertical="center"/>
    </xf>
    <xf numFmtId="8" fontId="0" fillId="8" borderId="1" xfId="1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8" fontId="18" fillId="0" borderId="13" xfId="0" applyNumberFormat="1" applyFont="1" applyBorder="1" applyAlignment="1">
      <alignment horizontal="center" vertical="center" wrapText="1"/>
    </xf>
    <xf numFmtId="44" fontId="0" fillId="8" borderId="12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8" fontId="0" fillId="8" borderId="3" xfId="1" applyNumberFormat="1" applyFont="1" applyFill="1" applyBorder="1" applyAlignment="1">
      <alignment horizontal="center" vertical="center"/>
    </xf>
    <xf numFmtId="8" fontId="18" fillId="11" borderId="14" xfId="0" applyNumberFormat="1" applyFont="1" applyFill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center" vertical="center"/>
    </xf>
    <xf numFmtId="167" fontId="19" fillId="0" borderId="15" xfId="0" applyNumberFormat="1" applyFont="1" applyBorder="1" applyAlignment="1">
      <alignment horizontal="center" vertical="center"/>
    </xf>
    <xf numFmtId="164" fontId="19" fillId="0" borderId="4" xfId="0" applyNumberFormat="1" applyFont="1" applyBorder="1" applyAlignment="1">
      <alignment horizontal="center" vertical="center"/>
    </xf>
    <xf numFmtId="8" fontId="0" fillId="0" borderId="1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5" borderId="0" xfId="0" applyFont="1" applyFill="1" applyAlignment="1">
      <alignment horizontal="left" vertical="center" wrapText="1"/>
    </xf>
    <xf numFmtId="0" fontId="9" fillId="0" borderId="0" xfId="0" applyFont="1" applyAlignment="1">
      <alignment wrapText="1"/>
    </xf>
  </cellXfs>
  <cellStyles count="22">
    <cellStyle name="Moneda" xfId="1" builtinId="4"/>
    <cellStyle name="Moneda 2" xfId="3"/>
    <cellStyle name="Moneda 2 2" xfId="5"/>
    <cellStyle name="Moneda 2 2 2" xfId="10"/>
    <cellStyle name="Moneda 2 2 2 2" xfId="20"/>
    <cellStyle name="Moneda 2 2 3" xfId="15"/>
    <cellStyle name="Moneda 2 3" xfId="8"/>
    <cellStyle name="Moneda 2 3 2" xfId="18"/>
    <cellStyle name="Moneda 2 4" xfId="13"/>
    <cellStyle name="Moneda 3" xfId="4"/>
    <cellStyle name="Moneda 3 2" xfId="9"/>
    <cellStyle name="Moneda 3 2 2" xfId="19"/>
    <cellStyle name="Moneda 3 3" xfId="14"/>
    <cellStyle name="Moneda 4" xfId="6"/>
    <cellStyle name="Moneda 4 2" xfId="11"/>
    <cellStyle name="Moneda 4 2 2" xfId="21"/>
    <cellStyle name="Moneda 4 3" xfId="16"/>
    <cellStyle name="Moneda 5" xfId="7"/>
    <cellStyle name="Moneda 5 2" xfId="17"/>
    <cellStyle name="Moneda 6" xfId="12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1125633</xdr:colOff>
      <xdr:row>1</xdr:row>
      <xdr:rowOff>292100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25400"/>
          <a:ext cx="1496050" cy="6371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981700</xdr:colOff>
      <xdr:row>2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85725" y="0"/>
          <a:ext cx="1496050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2</xdr:col>
      <xdr:colOff>48250</xdr:colOff>
      <xdr:row>1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66675" y="66675"/>
          <a:ext cx="1496050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57150</xdr:rowOff>
    </xdr:from>
    <xdr:to>
      <xdr:col>1</xdr:col>
      <xdr:colOff>1829425</xdr:colOff>
      <xdr:row>1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704850" y="57150"/>
          <a:ext cx="1496050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1124575</xdr:colOff>
      <xdr:row>1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66675"/>
          <a:ext cx="1496050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57150</xdr:rowOff>
    </xdr:from>
    <xdr:to>
      <xdr:col>1</xdr:col>
      <xdr:colOff>1829425</xdr:colOff>
      <xdr:row>1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1847850" y="57150"/>
          <a:ext cx="1496050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69056</xdr:rowOff>
    </xdr:from>
    <xdr:to>
      <xdr:col>2</xdr:col>
      <xdr:colOff>31581</xdr:colOff>
      <xdr:row>1</xdr:row>
      <xdr:rowOff>335756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23812" y="69056"/>
          <a:ext cx="1496050" cy="6357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42333</xdr:rowOff>
    </xdr:from>
    <xdr:to>
      <xdr:col>2</xdr:col>
      <xdr:colOff>188989</xdr:colOff>
      <xdr:row>1</xdr:row>
      <xdr:rowOff>325058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2333"/>
          <a:ext cx="1945822" cy="653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O17"/>
  <sheetViews>
    <sheetView showGridLines="0" zoomScale="90" zoomScaleNormal="90" workbookViewId="0">
      <pane ySplit="3" topLeftCell="A10" activePane="bottomLeft" state="frozen"/>
      <selection pane="bottomLeft" activeCell="AD17" sqref="AD17"/>
    </sheetView>
  </sheetViews>
  <sheetFormatPr baseColWidth="10" defaultRowHeight="15" x14ac:dyDescent="0.25"/>
  <cols>
    <col min="1" max="1" width="5.5703125" customWidth="1"/>
    <col min="2" max="2" width="41.7109375" customWidth="1"/>
    <col min="3" max="6" width="13.5703125" hidden="1" customWidth="1"/>
    <col min="7" max="14" width="15.42578125" hidden="1" customWidth="1"/>
    <col min="15" max="21" width="11.42578125" hidden="1" customWidth="1"/>
    <col min="22" max="22" width="10.140625" hidden="1" customWidth="1"/>
    <col min="23" max="23" width="11.85546875" hidden="1" customWidth="1"/>
    <col min="24" max="27" width="15.85546875" hidden="1" customWidth="1"/>
    <col min="28" max="28" width="11.42578125" hidden="1" customWidth="1"/>
    <col min="29" max="29" width="11" bestFit="1" customWidth="1"/>
    <col min="31" max="31" width="11.5703125" bestFit="1" customWidth="1"/>
    <col min="32" max="32" width="10.28515625" bestFit="1" customWidth="1"/>
    <col min="33" max="33" width="11" bestFit="1" customWidth="1"/>
    <col min="34" max="34" width="10.5703125" bestFit="1" customWidth="1"/>
    <col min="35" max="35" width="10.140625" bestFit="1" customWidth="1"/>
    <col min="36" max="36" width="11.85546875" bestFit="1" customWidth="1"/>
    <col min="37" max="37" width="15.85546875" customWidth="1"/>
    <col min="38" max="38" width="13" bestFit="1" customWidth="1"/>
    <col min="39" max="39" width="15.42578125" bestFit="1" customWidth="1"/>
    <col min="40" max="40" width="14.85546875" bestFit="1" customWidth="1"/>
  </cols>
  <sheetData>
    <row r="1" spans="1:41" s="4" customFormat="1" ht="29.25" customHeight="1" x14ac:dyDescent="0.25">
      <c r="C1" s="96" t="s">
        <v>100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P1" s="96" t="s">
        <v>100</v>
      </c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C1" s="96" t="s">
        <v>100</v>
      </c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</row>
    <row r="2" spans="1:41" s="4" customFormat="1" ht="29.25" customHeight="1" x14ac:dyDescent="0.25">
      <c r="C2" s="97" t="s">
        <v>14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P2" s="97" t="s">
        <v>110</v>
      </c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C2" s="97" t="s">
        <v>132</v>
      </c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</row>
    <row r="3" spans="1:41" ht="22.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111</v>
      </c>
      <c r="P3" s="42" t="s">
        <v>113</v>
      </c>
      <c r="Q3" s="42" t="s">
        <v>114</v>
      </c>
      <c r="R3" s="42" t="s">
        <v>115</v>
      </c>
      <c r="S3" s="42" t="s">
        <v>116</v>
      </c>
      <c r="T3" s="42" t="s">
        <v>117</v>
      </c>
      <c r="U3" s="42" t="s">
        <v>118</v>
      </c>
      <c r="V3" s="42" t="s">
        <v>119</v>
      </c>
      <c r="W3" s="42" t="s">
        <v>120</v>
      </c>
      <c r="X3" s="42" t="s">
        <v>121</v>
      </c>
      <c r="Y3" s="42" t="s">
        <v>122</v>
      </c>
      <c r="Z3" s="42" t="s">
        <v>123</v>
      </c>
      <c r="AA3" s="42" t="s">
        <v>124</v>
      </c>
      <c r="AB3" s="43" t="s">
        <v>112</v>
      </c>
      <c r="AC3" s="2" t="s">
        <v>133</v>
      </c>
      <c r="AD3" s="2" t="s">
        <v>134</v>
      </c>
      <c r="AE3" s="2" t="s">
        <v>135</v>
      </c>
      <c r="AF3" s="2" t="s">
        <v>136</v>
      </c>
      <c r="AG3" s="2" t="s">
        <v>137</v>
      </c>
      <c r="AH3" s="2" t="s">
        <v>138</v>
      </c>
      <c r="AI3" s="2" t="s">
        <v>139</v>
      </c>
      <c r="AJ3" s="2" t="s">
        <v>140</v>
      </c>
      <c r="AK3" s="2" t="s">
        <v>141</v>
      </c>
      <c r="AL3" s="2" t="s">
        <v>142</v>
      </c>
      <c r="AM3" s="2" t="s">
        <v>143</v>
      </c>
      <c r="AN3" s="2" t="s">
        <v>144</v>
      </c>
      <c r="AO3" s="1" t="s">
        <v>145</v>
      </c>
    </row>
    <row r="4" spans="1:41" ht="30" customHeight="1" x14ac:dyDescent="0.25">
      <c r="A4" s="5">
        <v>1</v>
      </c>
      <c r="B4" s="6" t="s">
        <v>85</v>
      </c>
      <c r="C4" s="3">
        <v>2</v>
      </c>
      <c r="D4" s="3">
        <v>2</v>
      </c>
      <c r="E4" s="3">
        <v>2</v>
      </c>
      <c r="F4" s="3">
        <v>2</v>
      </c>
      <c r="G4" s="50"/>
      <c r="H4" s="50"/>
      <c r="I4" s="50"/>
      <c r="J4" s="50"/>
      <c r="K4" s="50"/>
      <c r="L4" s="50"/>
      <c r="M4" s="50"/>
      <c r="N4" s="50"/>
      <c r="O4" s="44">
        <f t="shared" ref="O4:O15" si="0">SUM(C4:N4)</f>
        <v>8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4">
        <f t="shared" ref="AB4:AB15" si="1">SUM(P4:AA4)</f>
        <v>0</v>
      </c>
      <c r="AC4" s="3">
        <v>2</v>
      </c>
      <c r="AD4" s="3">
        <v>2</v>
      </c>
      <c r="AE4" s="3"/>
      <c r="AF4" s="3"/>
      <c r="AG4" s="3"/>
      <c r="AH4" s="3"/>
      <c r="AI4" s="3"/>
      <c r="AJ4" s="3"/>
      <c r="AK4" s="3"/>
      <c r="AL4" s="3"/>
      <c r="AM4" s="3"/>
      <c r="AN4" s="3"/>
      <c r="AO4" s="44">
        <f t="shared" ref="AO4:AO15" si="2">SUM(AC4:AN4)</f>
        <v>4</v>
      </c>
    </row>
    <row r="5" spans="1:41" ht="30" customHeight="1" x14ac:dyDescent="0.25">
      <c r="A5" s="5">
        <v>2</v>
      </c>
      <c r="B5" s="6" t="s">
        <v>86</v>
      </c>
      <c r="C5" s="3">
        <v>0</v>
      </c>
      <c r="D5" s="3">
        <v>1</v>
      </c>
      <c r="E5" s="3">
        <v>0</v>
      </c>
      <c r="F5" s="3">
        <v>0</v>
      </c>
      <c r="G5" s="50"/>
      <c r="H5" s="50"/>
      <c r="I5" s="50"/>
      <c r="J5" s="50"/>
      <c r="K5" s="50"/>
      <c r="L5" s="50"/>
      <c r="M5" s="50"/>
      <c r="N5" s="50"/>
      <c r="O5" s="44">
        <f t="shared" si="0"/>
        <v>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44">
        <f t="shared" si="1"/>
        <v>0</v>
      </c>
      <c r="AC5" s="3">
        <v>0</v>
      </c>
      <c r="AD5" s="3">
        <v>1</v>
      </c>
      <c r="AE5" s="3"/>
      <c r="AF5" s="3"/>
      <c r="AG5" s="3"/>
      <c r="AH5" s="3"/>
      <c r="AI5" s="3"/>
      <c r="AJ5" s="3"/>
      <c r="AK5" s="3"/>
      <c r="AL5" s="3"/>
      <c r="AM5" s="3"/>
      <c r="AN5" s="3"/>
      <c r="AO5" s="44">
        <f t="shared" si="2"/>
        <v>1</v>
      </c>
    </row>
    <row r="6" spans="1:41" ht="30" customHeight="1" x14ac:dyDescent="0.25">
      <c r="A6" s="5">
        <v>3</v>
      </c>
      <c r="B6" s="6" t="s">
        <v>87</v>
      </c>
      <c r="C6" s="3">
        <v>0</v>
      </c>
      <c r="D6" s="3">
        <v>0</v>
      </c>
      <c r="E6" s="3">
        <v>0</v>
      </c>
      <c r="F6" s="3">
        <v>0</v>
      </c>
      <c r="G6" s="50"/>
      <c r="H6" s="50"/>
      <c r="I6" s="50"/>
      <c r="J6" s="50"/>
      <c r="K6" s="50"/>
      <c r="L6" s="50"/>
      <c r="M6" s="50"/>
      <c r="N6" s="50"/>
      <c r="O6" s="44">
        <f t="shared" si="0"/>
        <v>0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4">
        <f t="shared" si="1"/>
        <v>0</v>
      </c>
      <c r="AC6" s="3">
        <v>0</v>
      </c>
      <c r="AD6" s="3">
        <v>0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44">
        <f t="shared" si="2"/>
        <v>0</v>
      </c>
    </row>
    <row r="7" spans="1:41" ht="30" customHeight="1" x14ac:dyDescent="0.25">
      <c r="A7" s="5">
        <v>4</v>
      </c>
      <c r="B7" s="6" t="s">
        <v>88</v>
      </c>
      <c r="C7" s="3">
        <v>14</v>
      </c>
      <c r="D7" s="3">
        <v>20</v>
      </c>
      <c r="E7" s="3">
        <v>16</v>
      </c>
      <c r="F7" s="3">
        <v>18</v>
      </c>
      <c r="G7" s="50"/>
      <c r="H7" s="50"/>
      <c r="I7" s="50"/>
      <c r="J7" s="50"/>
      <c r="K7" s="50"/>
      <c r="L7" s="50"/>
      <c r="M7" s="50"/>
      <c r="N7" s="50"/>
      <c r="O7" s="44">
        <f t="shared" si="0"/>
        <v>68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4">
        <f t="shared" si="1"/>
        <v>0</v>
      </c>
      <c r="AC7" s="3">
        <v>12</v>
      </c>
      <c r="AD7" s="3">
        <v>17</v>
      </c>
      <c r="AE7" s="3"/>
      <c r="AF7" s="3"/>
      <c r="AG7" s="3"/>
      <c r="AH7" s="3"/>
      <c r="AI7" s="3"/>
      <c r="AJ7" s="3"/>
      <c r="AK7" s="3"/>
      <c r="AL7" s="3"/>
      <c r="AM7" s="3"/>
      <c r="AN7" s="3"/>
      <c r="AO7" s="44">
        <f t="shared" si="2"/>
        <v>29</v>
      </c>
    </row>
    <row r="8" spans="1:41" ht="30" customHeight="1" x14ac:dyDescent="0.25">
      <c r="A8" s="5">
        <v>5</v>
      </c>
      <c r="B8" s="6" t="s">
        <v>89</v>
      </c>
      <c r="C8" s="3">
        <v>0</v>
      </c>
      <c r="D8" s="3">
        <v>0</v>
      </c>
      <c r="E8" s="3">
        <v>0</v>
      </c>
      <c r="F8" s="3">
        <v>0</v>
      </c>
      <c r="G8" s="50"/>
      <c r="H8" s="50"/>
      <c r="I8" s="50"/>
      <c r="J8" s="50"/>
      <c r="K8" s="50"/>
      <c r="L8" s="50"/>
      <c r="M8" s="50"/>
      <c r="N8" s="50"/>
      <c r="O8" s="44">
        <f t="shared" si="0"/>
        <v>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4">
        <f t="shared" si="1"/>
        <v>0</v>
      </c>
      <c r="AC8" s="3">
        <v>1</v>
      </c>
      <c r="AD8" s="3">
        <v>1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44">
        <f t="shared" si="2"/>
        <v>2</v>
      </c>
    </row>
    <row r="9" spans="1:41" ht="30" customHeight="1" x14ac:dyDescent="0.25">
      <c r="A9" s="5">
        <v>6</v>
      </c>
      <c r="B9" s="6" t="s">
        <v>90</v>
      </c>
      <c r="C9" s="3">
        <v>14</v>
      </c>
      <c r="D9" s="3">
        <v>20</v>
      </c>
      <c r="E9" s="3">
        <v>16</v>
      </c>
      <c r="F9" s="3">
        <v>18</v>
      </c>
      <c r="G9" s="50"/>
      <c r="H9" s="50"/>
      <c r="I9" s="50"/>
      <c r="J9" s="50"/>
      <c r="K9" s="50"/>
      <c r="L9" s="50"/>
      <c r="M9" s="50"/>
      <c r="N9" s="50"/>
      <c r="O9" s="44">
        <f t="shared" si="0"/>
        <v>68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4">
        <f t="shared" si="1"/>
        <v>0</v>
      </c>
      <c r="AC9" s="3">
        <v>13</v>
      </c>
      <c r="AD9" s="3">
        <v>18</v>
      </c>
      <c r="AE9" s="3"/>
      <c r="AF9" s="3"/>
      <c r="AG9" s="3"/>
      <c r="AH9" s="3"/>
      <c r="AI9" s="3"/>
      <c r="AJ9" s="3"/>
      <c r="AK9" s="3"/>
      <c r="AL9" s="3"/>
      <c r="AM9" s="3"/>
      <c r="AN9" s="3"/>
      <c r="AO9" s="44">
        <f t="shared" si="2"/>
        <v>31</v>
      </c>
    </row>
    <row r="10" spans="1:41" ht="30" customHeight="1" x14ac:dyDescent="0.25">
      <c r="A10" s="5">
        <v>7</v>
      </c>
      <c r="B10" s="6" t="s">
        <v>91</v>
      </c>
      <c r="C10" s="3">
        <v>25</v>
      </c>
      <c r="D10" s="3">
        <v>22</v>
      </c>
      <c r="E10" s="3">
        <v>32</v>
      </c>
      <c r="F10" s="3">
        <v>19</v>
      </c>
      <c r="G10" s="50"/>
      <c r="H10" s="50"/>
      <c r="I10" s="50"/>
      <c r="J10" s="50"/>
      <c r="K10" s="50"/>
      <c r="L10" s="50"/>
      <c r="M10" s="50"/>
      <c r="N10" s="50"/>
      <c r="O10" s="44">
        <f t="shared" si="0"/>
        <v>98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4">
        <f t="shared" si="1"/>
        <v>0</v>
      </c>
      <c r="AC10" s="3">
        <v>3</v>
      </c>
      <c r="AD10" s="3">
        <v>4</v>
      </c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44">
        <f t="shared" si="2"/>
        <v>7</v>
      </c>
    </row>
    <row r="11" spans="1:41" ht="30" customHeight="1" x14ac:dyDescent="0.25">
      <c r="A11" s="5">
        <v>8</v>
      </c>
      <c r="B11" s="6" t="s">
        <v>130</v>
      </c>
      <c r="C11" s="3">
        <v>10</v>
      </c>
      <c r="D11" s="3">
        <v>12</v>
      </c>
      <c r="E11" s="3">
        <v>9</v>
      </c>
      <c r="F11" s="3">
        <v>3</v>
      </c>
      <c r="G11" s="50"/>
      <c r="H11" s="50"/>
      <c r="I11" s="50"/>
      <c r="J11" s="50"/>
      <c r="K11" s="50"/>
      <c r="L11" s="50"/>
      <c r="M11" s="50"/>
      <c r="N11" s="50"/>
      <c r="O11" s="44">
        <f t="shared" si="0"/>
        <v>34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4">
        <f t="shared" si="1"/>
        <v>0</v>
      </c>
      <c r="AC11" s="3">
        <v>2</v>
      </c>
      <c r="AD11" s="3">
        <v>6</v>
      </c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44">
        <f t="shared" si="2"/>
        <v>8</v>
      </c>
    </row>
    <row r="12" spans="1:41" ht="30" customHeight="1" x14ac:dyDescent="0.25">
      <c r="A12" s="5">
        <v>9</v>
      </c>
      <c r="B12" s="6" t="s">
        <v>92</v>
      </c>
      <c r="C12" s="3">
        <v>0</v>
      </c>
      <c r="D12" s="3">
        <v>1</v>
      </c>
      <c r="E12" s="3">
        <v>2</v>
      </c>
      <c r="F12" s="3">
        <v>0</v>
      </c>
      <c r="G12" s="50"/>
      <c r="H12" s="50"/>
      <c r="I12" s="50"/>
      <c r="J12" s="50"/>
      <c r="K12" s="50"/>
      <c r="L12" s="50"/>
      <c r="M12" s="50"/>
      <c r="N12" s="50"/>
      <c r="O12" s="44">
        <f t="shared" si="0"/>
        <v>3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4">
        <f t="shared" si="1"/>
        <v>0</v>
      </c>
      <c r="AC12" s="3">
        <v>0</v>
      </c>
      <c r="AD12" s="3">
        <v>0</v>
      </c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44">
        <f t="shared" si="2"/>
        <v>0</v>
      </c>
    </row>
    <row r="13" spans="1:41" ht="30" customHeight="1" x14ac:dyDescent="0.25">
      <c r="A13" s="5">
        <v>10</v>
      </c>
      <c r="B13" s="6" t="s">
        <v>103</v>
      </c>
      <c r="C13" s="3">
        <v>5</v>
      </c>
      <c r="D13" s="3">
        <v>14</v>
      </c>
      <c r="E13" s="3">
        <v>18</v>
      </c>
      <c r="F13" s="3">
        <v>7</v>
      </c>
      <c r="G13" s="50"/>
      <c r="H13" s="50"/>
      <c r="I13" s="50"/>
      <c r="J13" s="50"/>
      <c r="K13" s="50"/>
      <c r="L13" s="50"/>
      <c r="M13" s="50"/>
      <c r="N13" s="50"/>
      <c r="O13" s="44">
        <f t="shared" si="0"/>
        <v>44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4">
        <f t="shared" si="1"/>
        <v>0</v>
      </c>
      <c r="AC13" s="3">
        <v>4</v>
      </c>
      <c r="AD13" s="3">
        <v>8</v>
      </c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44">
        <f t="shared" si="2"/>
        <v>12</v>
      </c>
    </row>
    <row r="14" spans="1:41" ht="30" customHeight="1" x14ac:dyDescent="0.25">
      <c r="A14" s="5">
        <v>11</v>
      </c>
      <c r="B14" s="6" t="s">
        <v>93</v>
      </c>
      <c r="C14" s="3">
        <v>12</v>
      </c>
      <c r="D14" s="3">
        <v>18</v>
      </c>
      <c r="E14" s="3">
        <v>18</v>
      </c>
      <c r="F14" s="3">
        <v>19</v>
      </c>
      <c r="G14" s="50"/>
      <c r="H14" s="50"/>
      <c r="I14" s="50"/>
      <c r="J14" s="50"/>
      <c r="K14" s="50"/>
      <c r="L14" s="50"/>
      <c r="M14" s="50"/>
      <c r="N14" s="50"/>
      <c r="O14" s="44">
        <f t="shared" si="0"/>
        <v>67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4">
        <f t="shared" si="1"/>
        <v>0</v>
      </c>
      <c r="AC14" s="3">
        <v>9</v>
      </c>
      <c r="AD14" s="3">
        <v>13</v>
      </c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44">
        <f t="shared" si="2"/>
        <v>22</v>
      </c>
    </row>
    <row r="15" spans="1:41" ht="30" customHeight="1" x14ac:dyDescent="0.25">
      <c r="A15" s="5">
        <v>12</v>
      </c>
      <c r="B15" s="6" t="s">
        <v>95</v>
      </c>
      <c r="C15" s="3">
        <v>2060</v>
      </c>
      <c r="D15" s="3">
        <v>3078</v>
      </c>
      <c r="E15" s="3">
        <v>5564</v>
      </c>
      <c r="F15" s="3">
        <v>5557</v>
      </c>
      <c r="G15" s="50"/>
      <c r="H15" s="50"/>
      <c r="I15" s="50"/>
      <c r="J15" s="50"/>
      <c r="K15" s="50"/>
      <c r="L15" s="50"/>
      <c r="M15" s="50"/>
      <c r="N15" s="50"/>
      <c r="O15" s="44">
        <f t="shared" si="0"/>
        <v>16259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4">
        <f t="shared" si="1"/>
        <v>0</v>
      </c>
      <c r="AC15" s="3">
        <v>8</v>
      </c>
      <c r="AD15" s="3">
        <v>2</v>
      </c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44">
        <f t="shared" si="2"/>
        <v>10</v>
      </c>
    </row>
    <row r="16" spans="1:41" x14ac:dyDescent="0.25">
      <c r="A16" s="5">
        <v>13</v>
      </c>
      <c r="B16" s="63" t="s">
        <v>106</v>
      </c>
      <c r="C16" s="3"/>
      <c r="D16" s="3"/>
      <c r="E16" s="3"/>
      <c r="F16" s="3"/>
      <c r="G16" s="3"/>
      <c r="H16" s="54"/>
      <c r="I16" s="3">
        <v>1</v>
      </c>
      <c r="J16" s="3">
        <v>1</v>
      </c>
      <c r="K16" s="3">
        <v>1</v>
      </c>
      <c r="L16" s="3">
        <v>0</v>
      </c>
      <c r="M16" s="3">
        <v>0</v>
      </c>
      <c r="N16" s="3">
        <v>1</v>
      </c>
      <c r="O16" s="44">
        <f>SUM(C16:N16)</f>
        <v>4</v>
      </c>
      <c r="P16" s="3"/>
      <c r="Q16" s="3"/>
      <c r="R16" s="3"/>
      <c r="S16" s="3"/>
      <c r="T16" s="3"/>
      <c r="U16" s="54"/>
      <c r="V16" s="3"/>
      <c r="W16" s="3"/>
      <c r="X16" s="3"/>
      <c r="Y16" s="3"/>
      <c r="Z16" s="3"/>
      <c r="AA16" s="3"/>
      <c r="AB16" s="44">
        <f>SUM(P16:AA16)</f>
        <v>0</v>
      </c>
      <c r="AC16" s="3">
        <v>0</v>
      </c>
      <c r="AD16" s="3">
        <v>2</v>
      </c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44">
        <f>SUM(AC16:AN16)</f>
        <v>2</v>
      </c>
    </row>
    <row r="17" spans="1:41" ht="30" x14ac:dyDescent="0.25">
      <c r="A17" s="5">
        <v>14</v>
      </c>
      <c r="B17" s="6" t="s">
        <v>104</v>
      </c>
      <c r="C17" s="3"/>
      <c r="D17" s="3"/>
      <c r="E17" s="3">
        <v>2</v>
      </c>
      <c r="F17" s="3">
        <v>2</v>
      </c>
      <c r="G17" s="3">
        <v>2</v>
      </c>
      <c r="H17" s="3">
        <v>2</v>
      </c>
      <c r="I17" s="3">
        <v>4</v>
      </c>
      <c r="J17" s="3">
        <v>2</v>
      </c>
      <c r="K17" s="3">
        <v>6</v>
      </c>
      <c r="L17" s="3">
        <v>3</v>
      </c>
      <c r="M17" s="3">
        <v>2</v>
      </c>
      <c r="N17" s="3">
        <v>3</v>
      </c>
      <c r="O17" s="44">
        <f>SUM(C17:N17)</f>
        <v>28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4">
        <f>SUM(P17:AA17)</f>
        <v>0</v>
      </c>
      <c r="AC17" s="3">
        <v>8</v>
      </c>
      <c r="AD17" s="3">
        <v>13</v>
      </c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44">
        <f t="shared" ref="AO17" si="3">SUM(AC17:AN17)</f>
        <v>21</v>
      </c>
    </row>
  </sheetData>
  <mergeCells count="6">
    <mergeCell ref="C1:N1"/>
    <mergeCell ref="C2:N2"/>
    <mergeCell ref="P1:AA1"/>
    <mergeCell ref="P2:AA2"/>
    <mergeCell ref="AC1:AN1"/>
    <mergeCell ref="AC2:AN2"/>
  </mergeCells>
  <pageMargins left="0.25" right="0.25" top="0.75" bottom="0.75" header="0.3" footer="0.3"/>
  <pageSetup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showGridLines="0" zoomScale="90" zoomScaleNormal="90" workbookViewId="0">
      <selection activeCell="AE7" sqref="AE7"/>
    </sheetView>
  </sheetViews>
  <sheetFormatPr baseColWidth="10" defaultRowHeight="15" x14ac:dyDescent="0.25"/>
  <cols>
    <col min="1" max="1" width="9" customWidth="1"/>
    <col min="2" max="2" width="30.140625" style="64" customWidth="1"/>
    <col min="3" max="3" width="10.5703125" hidden="1" customWidth="1"/>
    <col min="4" max="4" width="12.42578125" hidden="1" customWidth="1"/>
    <col min="5" max="5" width="10.85546875" hidden="1" customWidth="1"/>
    <col min="6" max="6" width="9.7109375" hidden="1" customWidth="1"/>
    <col min="7" max="7" width="10.28515625" hidden="1" customWidth="1"/>
    <col min="8" max="8" width="10.140625" hidden="1" customWidth="1"/>
    <col min="9" max="9" width="9.5703125" hidden="1" customWidth="1"/>
    <col min="10" max="10" width="11.5703125" hidden="1" customWidth="1"/>
    <col min="11" max="11" width="15.85546875" hidden="1" customWidth="1"/>
    <col min="12" max="12" width="12.5703125" hidden="1" customWidth="1"/>
    <col min="13" max="13" width="15.42578125" hidden="1" customWidth="1"/>
    <col min="14" max="14" width="14.5703125" hidden="1" customWidth="1"/>
    <col min="15" max="15" width="9.85546875" hidden="1" customWidth="1"/>
    <col min="16" max="23" width="11.42578125" hidden="1" customWidth="1"/>
    <col min="24" max="24" width="17.5703125" hidden="1" customWidth="1"/>
    <col min="25" max="25" width="12.5703125" hidden="1" customWidth="1"/>
    <col min="26" max="26" width="15.42578125" hidden="1" customWidth="1"/>
    <col min="27" max="27" width="14.5703125" hidden="1" customWidth="1"/>
    <col min="28" max="28" width="11.42578125" hidden="1" customWidth="1"/>
    <col min="29" max="36" width="11.42578125" customWidth="1"/>
    <col min="37" max="37" width="17.5703125" customWidth="1"/>
    <col min="38" max="38" width="12.5703125" customWidth="1"/>
    <col min="39" max="39" width="15.42578125" customWidth="1"/>
    <col min="40" max="40" width="14.5703125" customWidth="1"/>
    <col min="41" max="41" width="11.42578125" customWidth="1"/>
  </cols>
  <sheetData>
    <row r="1" spans="1:41" ht="21" x14ac:dyDescent="0.25">
      <c r="A1" s="4"/>
      <c r="B1" s="61"/>
      <c r="C1" s="96" t="s">
        <v>105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4"/>
      <c r="P1" s="96" t="s">
        <v>105</v>
      </c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4"/>
      <c r="AC1" s="96" t="s">
        <v>105</v>
      </c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4"/>
    </row>
    <row r="2" spans="1:41" ht="21" x14ac:dyDescent="0.25">
      <c r="A2" s="4"/>
      <c r="B2" s="6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4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4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4"/>
    </row>
    <row r="3" spans="1:41" ht="18.75" x14ac:dyDescent="0.25">
      <c r="A3" s="4"/>
      <c r="B3" s="61"/>
      <c r="C3" s="97" t="s">
        <v>14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4"/>
      <c r="P3" s="97" t="s">
        <v>110</v>
      </c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4"/>
      <c r="AC3" s="97" t="s">
        <v>132</v>
      </c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4"/>
    </row>
    <row r="4" spans="1:41" ht="25.5" customHeight="1" x14ac:dyDescent="0.25">
      <c r="A4" s="52" t="s">
        <v>0</v>
      </c>
      <c r="B4" s="62" t="s">
        <v>1</v>
      </c>
      <c r="C4" s="53" t="s">
        <v>2</v>
      </c>
      <c r="D4" s="53" t="s">
        <v>3</v>
      </c>
      <c r="E4" s="53" t="s">
        <v>4</v>
      </c>
      <c r="F4" s="53" t="s">
        <v>5</v>
      </c>
      <c r="G4" s="53" t="s">
        <v>6</v>
      </c>
      <c r="H4" s="53" t="s">
        <v>7</v>
      </c>
      <c r="I4" s="53" t="s">
        <v>8</v>
      </c>
      <c r="J4" s="53" t="s">
        <v>9</v>
      </c>
      <c r="K4" s="53" t="s">
        <v>10</v>
      </c>
      <c r="L4" s="53" t="s">
        <v>11</v>
      </c>
      <c r="M4" s="53" t="s">
        <v>12</v>
      </c>
      <c r="N4" s="53" t="s">
        <v>13</v>
      </c>
      <c r="O4" s="1" t="s">
        <v>111</v>
      </c>
      <c r="P4" s="42" t="s">
        <v>113</v>
      </c>
      <c r="Q4" s="42" t="s">
        <v>114</v>
      </c>
      <c r="R4" s="42" t="s">
        <v>115</v>
      </c>
      <c r="S4" s="42" t="s">
        <v>116</v>
      </c>
      <c r="T4" s="42" t="s">
        <v>117</v>
      </c>
      <c r="U4" s="42" t="s">
        <v>118</v>
      </c>
      <c r="V4" s="42" t="s">
        <v>119</v>
      </c>
      <c r="W4" s="42" t="s">
        <v>120</v>
      </c>
      <c r="X4" s="42" t="s">
        <v>121</v>
      </c>
      <c r="Y4" s="42" t="s">
        <v>122</v>
      </c>
      <c r="Z4" s="42" t="s">
        <v>123</v>
      </c>
      <c r="AA4" s="42" t="s">
        <v>124</v>
      </c>
      <c r="AB4" s="43" t="s">
        <v>112</v>
      </c>
      <c r="AC4" s="2" t="s">
        <v>133</v>
      </c>
      <c r="AD4" s="2" t="s">
        <v>134</v>
      </c>
      <c r="AE4" s="2" t="s">
        <v>135</v>
      </c>
      <c r="AF4" s="2" t="s">
        <v>136</v>
      </c>
      <c r="AG4" s="2" t="s">
        <v>137</v>
      </c>
      <c r="AH4" s="2" t="s">
        <v>138</v>
      </c>
      <c r="AI4" s="2" t="s">
        <v>139</v>
      </c>
      <c r="AJ4" s="2" t="s">
        <v>140</v>
      </c>
      <c r="AK4" s="2" t="s">
        <v>141</v>
      </c>
      <c r="AL4" s="2" t="s">
        <v>142</v>
      </c>
      <c r="AM4" s="2" t="s">
        <v>143</v>
      </c>
      <c r="AN4" s="2" t="s">
        <v>144</v>
      </c>
      <c r="AO4" s="1" t="s">
        <v>128</v>
      </c>
    </row>
    <row r="5" spans="1:41" ht="30" x14ac:dyDescent="0.25">
      <c r="A5" s="5">
        <v>1</v>
      </c>
      <c r="B5" s="63" t="s">
        <v>107</v>
      </c>
      <c r="C5" s="18">
        <v>23</v>
      </c>
      <c r="D5" s="3">
        <v>20</v>
      </c>
      <c r="E5" s="3">
        <v>26</v>
      </c>
      <c r="F5" s="3">
        <v>23</v>
      </c>
      <c r="G5" s="3">
        <v>24</v>
      </c>
      <c r="H5" s="54">
        <v>26</v>
      </c>
      <c r="I5" s="3">
        <v>22</v>
      </c>
      <c r="J5" s="3">
        <v>23</v>
      </c>
      <c r="K5" s="3">
        <v>24</v>
      </c>
      <c r="L5" s="3">
        <v>21</v>
      </c>
      <c r="M5" s="3">
        <v>21</v>
      </c>
      <c r="N5" s="3">
        <v>24</v>
      </c>
      <c r="O5" s="44">
        <f>SUM(C5:N5)</f>
        <v>277</v>
      </c>
      <c r="P5" s="18"/>
      <c r="Q5" s="3"/>
      <c r="R5" s="3"/>
      <c r="S5" s="3"/>
      <c r="T5" s="3"/>
      <c r="U5" s="54"/>
      <c r="V5" s="3"/>
      <c r="W5" s="3"/>
      <c r="X5" s="3"/>
      <c r="Y5" s="3"/>
      <c r="Z5" s="3"/>
      <c r="AA5" s="3"/>
      <c r="AB5" s="82">
        <f>SUM(P5:AA5)</f>
        <v>0</v>
      </c>
      <c r="AC5" s="21">
        <v>0</v>
      </c>
      <c r="AD5" s="21">
        <v>0</v>
      </c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44">
        <f>SUM(AC5:AN5)</f>
        <v>0</v>
      </c>
    </row>
    <row r="6" spans="1:41" ht="45" x14ac:dyDescent="0.25">
      <c r="A6" s="5">
        <v>2</v>
      </c>
      <c r="B6" s="63" t="s">
        <v>95</v>
      </c>
      <c r="C6" s="3">
        <v>2060</v>
      </c>
      <c r="D6" s="3">
        <v>3078</v>
      </c>
      <c r="E6" s="3">
        <v>5564</v>
      </c>
      <c r="F6" s="3">
        <v>5557</v>
      </c>
      <c r="G6" s="3">
        <v>11144</v>
      </c>
      <c r="H6" s="54">
        <v>91</v>
      </c>
      <c r="I6" s="3">
        <v>76</v>
      </c>
      <c r="J6" s="3">
        <v>52</v>
      </c>
      <c r="K6" s="3">
        <v>42</v>
      </c>
      <c r="L6" s="3">
        <v>57</v>
      </c>
      <c r="M6" s="3">
        <v>19</v>
      </c>
      <c r="N6" s="3">
        <v>15</v>
      </c>
      <c r="O6" s="44">
        <f>SUM(C6:N6)</f>
        <v>27755</v>
      </c>
      <c r="P6" s="3"/>
      <c r="Q6" s="3"/>
      <c r="R6" s="3"/>
      <c r="S6" s="3"/>
      <c r="T6" s="3"/>
      <c r="U6" s="54"/>
      <c r="V6" s="3"/>
      <c r="W6" s="3"/>
      <c r="X6" s="3"/>
      <c r="Y6" s="3"/>
      <c r="Z6" s="3"/>
      <c r="AA6" s="3"/>
      <c r="AB6" s="82">
        <f>SUM(P6:AA6)</f>
        <v>0</v>
      </c>
      <c r="AC6" s="21">
        <v>157</v>
      </c>
      <c r="AD6" s="21">
        <v>184</v>
      </c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44">
        <f>SUM(AC6:AN6)</f>
        <v>341</v>
      </c>
    </row>
    <row r="7" spans="1:41" ht="30" x14ac:dyDescent="0.25">
      <c r="A7" s="5">
        <v>3</v>
      </c>
      <c r="B7" s="63" t="s">
        <v>108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54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44">
        <f>SUM(C7:N7)</f>
        <v>0</v>
      </c>
      <c r="P7" s="3"/>
      <c r="Q7" s="3"/>
      <c r="R7" s="3"/>
      <c r="S7" s="3"/>
      <c r="T7" s="3"/>
      <c r="U7" s="54"/>
      <c r="V7" s="3"/>
      <c r="W7" s="3"/>
      <c r="X7" s="3"/>
      <c r="Y7" s="3"/>
      <c r="Z7" s="3"/>
      <c r="AA7" s="3"/>
      <c r="AB7" s="82">
        <f>SUM(P7:AA7)</f>
        <v>0</v>
      </c>
      <c r="AC7" s="21">
        <v>0</v>
      </c>
      <c r="AD7" s="21">
        <v>0</v>
      </c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44">
        <f>SUM(AC7:AN7)</f>
        <v>0</v>
      </c>
    </row>
    <row r="8" spans="1:41" ht="30" customHeight="1" x14ac:dyDescent="0.25">
      <c r="A8" s="5">
        <v>4</v>
      </c>
      <c r="B8" s="6" t="s">
        <v>94</v>
      </c>
      <c r="C8" s="3">
        <v>4948</v>
      </c>
      <c r="D8" s="3">
        <v>2609</v>
      </c>
      <c r="E8" s="3">
        <v>4470</v>
      </c>
      <c r="F8" s="3">
        <v>2888</v>
      </c>
      <c r="G8" s="50"/>
      <c r="H8" s="50"/>
      <c r="I8" s="50"/>
      <c r="J8" s="50"/>
      <c r="K8" s="50"/>
      <c r="L8" s="50"/>
      <c r="M8" s="50"/>
      <c r="N8" s="50"/>
      <c r="O8" s="44">
        <f t="shared" ref="O8" si="0">SUM(C8:N8)</f>
        <v>14915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82">
        <f t="shared" ref="AB8" si="1">SUM(P8:AA8)</f>
        <v>0</v>
      </c>
      <c r="AC8" s="18">
        <v>14</v>
      </c>
      <c r="AD8" s="18">
        <v>21</v>
      </c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44">
        <f t="shared" ref="AO8" si="2">SUM(AC8:AN8)</f>
        <v>35</v>
      </c>
    </row>
  </sheetData>
  <mergeCells count="6">
    <mergeCell ref="AC1:AN1"/>
    <mergeCell ref="AC3:AN3"/>
    <mergeCell ref="C1:N1"/>
    <mergeCell ref="C3:N3"/>
    <mergeCell ref="P1:AA1"/>
    <mergeCell ref="P3:AA3"/>
  </mergeCells>
  <pageMargins left="0.7" right="0.7" top="0.75" bottom="0.75" header="0.3" footer="0.3"/>
  <pageSetup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0"/>
  <sheetViews>
    <sheetView showGridLines="0" workbookViewId="0">
      <pane ySplit="3" topLeftCell="A4" activePane="bottomLeft" state="frozen"/>
      <selection pane="bottomLeft" activeCell="AE15" sqref="AE15"/>
    </sheetView>
  </sheetViews>
  <sheetFormatPr baseColWidth="10" defaultRowHeight="15" x14ac:dyDescent="0.25"/>
  <cols>
    <col min="1" max="1" width="5.5703125" customWidth="1"/>
    <col min="2" max="2" width="17.140625" customWidth="1"/>
    <col min="3" max="3" width="34.28515625" customWidth="1"/>
    <col min="4" max="15" width="15.42578125" hidden="1" customWidth="1"/>
    <col min="16" max="16" width="15" hidden="1" customWidth="1"/>
    <col min="17" max="28" width="15.42578125" hidden="1" customWidth="1"/>
    <col min="29" max="29" width="15" hidden="1" customWidth="1"/>
    <col min="30" max="41" width="15.42578125" bestFit="1" customWidth="1"/>
    <col min="42" max="42" width="15" customWidth="1"/>
  </cols>
  <sheetData>
    <row r="1" spans="1:42" s="4" customFormat="1" ht="29.25" customHeight="1" x14ac:dyDescent="0.25">
      <c r="D1" s="96" t="s">
        <v>55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Q1" s="96" t="s">
        <v>55</v>
      </c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D1" s="96" t="s">
        <v>55</v>
      </c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</row>
    <row r="2" spans="1:42" s="4" customFormat="1" ht="29.25" customHeight="1" x14ac:dyDescent="0.25">
      <c r="D2" s="97" t="s">
        <v>110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Q2" s="97" t="s">
        <v>110</v>
      </c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D2" s="97" t="s">
        <v>132</v>
      </c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</row>
    <row r="3" spans="1:42" ht="22.5" customHeight="1" x14ac:dyDescent="0.25">
      <c r="A3" s="1" t="s">
        <v>0</v>
      </c>
      <c r="B3" s="1" t="s">
        <v>15</v>
      </c>
      <c r="C3" s="1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" t="s">
        <v>111</v>
      </c>
      <c r="Q3" s="42" t="s">
        <v>113</v>
      </c>
      <c r="R3" s="42" t="s">
        <v>114</v>
      </c>
      <c r="S3" s="42" t="s">
        <v>115</v>
      </c>
      <c r="T3" s="42" t="s">
        <v>116</v>
      </c>
      <c r="U3" s="42" t="s">
        <v>117</v>
      </c>
      <c r="V3" s="42" t="s">
        <v>118</v>
      </c>
      <c r="W3" s="42" t="s">
        <v>119</v>
      </c>
      <c r="X3" s="42" t="s">
        <v>120</v>
      </c>
      <c r="Y3" s="42" t="s">
        <v>121</v>
      </c>
      <c r="Z3" s="42" t="s">
        <v>122</v>
      </c>
      <c r="AA3" s="42" t="s">
        <v>123</v>
      </c>
      <c r="AB3" s="42" t="s">
        <v>124</v>
      </c>
      <c r="AC3" s="43" t="s">
        <v>112</v>
      </c>
      <c r="AD3" s="2" t="s">
        <v>133</v>
      </c>
      <c r="AE3" s="2" t="s">
        <v>134</v>
      </c>
      <c r="AF3" s="2" t="s">
        <v>135</v>
      </c>
      <c r="AG3" s="2" t="s">
        <v>136</v>
      </c>
      <c r="AH3" s="2" t="s">
        <v>137</v>
      </c>
      <c r="AI3" s="2" t="s">
        <v>138</v>
      </c>
      <c r="AJ3" s="2" t="s">
        <v>139</v>
      </c>
      <c r="AK3" s="2" t="s">
        <v>140</v>
      </c>
      <c r="AL3" s="2" t="s">
        <v>141</v>
      </c>
      <c r="AM3" s="2" t="s">
        <v>142</v>
      </c>
      <c r="AN3" s="2" t="s">
        <v>143</v>
      </c>
      <c r="AO3" s="2" t="s">
        <v>144</v>
      </c>
      <c r="AP3" s="1" t="s">
        <v>128</v>
      </c>
    </row>
    <row r="4" spans="1:42" ht="30" customHeight="1" x14ac:dyDescent="0.25">
      <c r="A4" s="46">
        <v>1</v>
      </c>
      <c r="B4" s="47" t="s">
        <v>48</v>
      </c>
      <c r="C4" s="6" t="s">
        <v>49</v>
      </c>
      <c r="D4" s="37">
        <v>3223</v>
      </c>
      <c r="E4" s="37">
        <v>4415</v>
      </c>
      <c r="F4" s="37">
        <v>5794</v>
      </c>
      <c r="G4" s="38">
        <v>2635</v>
      </c>
      <c r="H4" s="39">
        <v>5971</v>
      </c>
      <c r="I4" s="37">
        <v>5785</v>
      </c>
      <c r="J4" s="37">
        <v>4435</v>
      </c>
      <c r="K4" s="37">
        <v>4303</v>
      </c>
      <c r="L4" s="40">
        <v>3947</v>
      </c>
      <c r="M4" s="41">
        <v>3386</v>
      </c>
      <c r="N4" s="37">
        <v>2527</v>
      </c>
      <c r="O4" s="37">
        <v>3756</v>
      </c>
      <c r="P4" s="44">
        <f t="shared" ref="P4:P6" si="0">SUM(D4:O4)</f>
        <v>50177</v>
      </c>
      <c r="Q4" s="37"/>
      <c r="R4" s="37"/>
      <c r="S4" s="37"/>
      <c r="T4" s="14"/>
      <c r="U4" s="14"/>
      <c r="V4" s="37"/>
      <c r="W4" s="37"/>
      <c r="X4" s="37"/>
      <c r="Y4" s="40"/>
      <c r="Z4" s="41"/>
      <c r="AA4" s="37"/>
      <c r="AB4" s="37"/>
      <c r="AC4" s="44">
        <f t="shared" ref="AC4:AC6" si="1">SUM(Q4:AB4)</f>
        <v>0</v>
      </c>
      <c r="AD4" s="39">
        <v>2354</v>
      </c>
      <c r="AE4" s="39">
        <v>2667</v>
      </c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44">
        <f t="shared" ref="AP4:AP6" si="2">SUM(AD4:AO4)</f>
        <v>5021</v>
      </c>
    </row>
    <row r="5" spans="1:42" ht="30" customHeight="1" x14ac:dyDescent="0.25">
      <c r="A5" s="46">
        <v>2</v>
      </c>
      <c r="B5" s="47" t="s">
        <v>48</v>
      </c>
      <c r="C5" s="6" t="s">
        <v>50</v>
      </c>
      <c r="D5" s="9">
        <v>1128050</v>
      </c>
      <c r="E5" s="9">
        <v>1545250</v>
      </c>
      <c r="F5" s="14">
        <v>2027900</v>
      </c>
      <c r="G5" s="15">
        <v>922250</v>
      </c>
      <c r="H5" s="15">
        <f t="shared" ref="H5:K5" si="3">H4*350</f>
        <v>2089850</v>
      </c>
      <c r="I5" s="15">
        <f t="shared" si="3"/>
        <v>2024750</v>
      </c>
      <c r="J5" s="15">
        <f t="shared" si="3"/>
        <v>1552250</v>
      </c>
      <c r="K5" s="15">
        <f t="shared" si="3"/>
        <v>1506050</v>
      </c>
      <c r="L5" s="30">
        <v>1381450</v>
      </c>
      <c r="M5" s="35">
        <v>1185100</v>
      </c>
      <c r="N5" s="9">
        <v>884450</v>
      </c>
      <c r="O5" s="36">
        <v>1314600</v>
      </c>
      <c r="P5" s="45">
        <f t="shared" si="0"/>
        <v>17561950</v>
      </c>
      <c r="Q5" s="9"/>
      <c r="R5" s="9"/>
      <c r="S5" s="14"/>
      <c r="T5" s="14"/>
      <c r="U5" s="14"/>
      <c r="V5" s="15"/>
      <c r="W5" s="15"/>
      <c r="X5" s="15"/>
      <c r="Y5" s="30"/>
      <c r="Z5" s="35"/>
      <c r="AA5" s="9"/>
      <c r="AB5" s="36"/>
      <c r="AC5" s="45">
        <f t="shared" si="1"/>
        <v>0</v>
      </c>
      <c r="AD5" s="35">
        <v>823900</v>
      </c>
      <c r="AE5" s="35">
        <v>933450</v>
      </c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45">
        <f t="shared" si="2"/>
        <v>1757350</v>
      </c>
    </row>
    <row r="6" spans="1:42" ht="30" customHeight="1" x14ac:dyDescent="0.25">
      <c r="A6" s="46">
        <v>3</v>
      </c>
      <c r="B6" s="47" t="s">
        <v>48</v>
      </c>
      <c r="C6" s="6" t="s">
        <v>51</v>
      </c>
      <c r="D6" s="9">
        <f t="shared" ref="D6:E6" si="4">SUM(D5:D5)</f>
        <v>1128050</v>
      </c>
      <c r="E6" s="9">
        <f t="shared" si="4"/>
        <v>1545250</v>
      </c>
      <c r="F6" s="9">
        <f t="shared" ref="F6" si="5">SUM(F5:F5)</f>
        <v>2027900</v>
      </c>
      <c r="G6" s="16">
        <v>922250</v>
      </c>
      <c r="H6" s="9">
        <f t="shared" ref="H6:K6" si="6">SUM(H5:H5)</f>
        <v>2089850</v>
      </c>
      <c r="I6" s="9">
        <f t="shared" si="6"/>
        <v>2024750</v>
      </c>
      <c r="J6" s="9">
        <f t="shared" si="6"/>
        <v>1552250</v>
      </c>
      <c r="K6" s="9">
        <f t="shared" si="6"/>
        <v>1506050</v>
      </c>
      <c r="L6" s="29">
        <v>1381450</v>
      </c>
      <c r="M6" s="34">
        <v>1185100</v>
      </c>
      <c r="N6" s="9">
        <v>884450</v>
      </c>
      <c r="O6" s="36">
        <v>1314600</v>
      </c>
      <c r="P6" s="45">
        <f t="shared" si="0"/>
        <v>17561950</v>
      </c>
      <c r="Q6" s="9"/>
      <c r="R6" s="9"/>
      <c r="S6" s="9"/>
      <c r="T6" s="14"/>
      <c r="U6" s="14"/>
      <c r="V6" s="9"/>
      <c r="W6" s="9"/>
      <c r="X6" s="9"/>
      <c r="Y6" s="29"/>
      <c r="Z6" s="34"/>
      <c r="AA6" s="9"/>
      <c r="AB6" s="36"/>
      <c r="AC6" s="45">
        <f t="shared" si="1"/>
        <v>0</v>
      </c>
      <c r="AD6" s="35">
        <v>823900</v>
      </c>
      <c r="AE6" s="35">
        <v>933450</v>
      </c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45">
        <f t="shared" si="2"/>
        <v>1757350</v>
      </c>
    </row>
    <row r="7" spans="1:42" ht="30" customHeight="1" x14ac:dyDescent="0.25">
      <c r="A7" s="46">
        <v>4</v>
      </c>
      <c r="B7" s="47" t="s">
        <v>52</v>
      </c>
      <c r="C7" s="6" t="s">
        <v>53</v>
      </c>
      <c r="D7" s="3">
        <v>166</v>
      </c>
      <c r="E7" s="3">
        <v>162</v>
      </c>
      <c r="F7" s="3">
        <v>171</v>
      </c>
      <c r="G7" s="3">
        <v>136</v>
      </c>
      <c r="H7" s="3">
        <v>122</v>
      </c>
      <c r="I7" s="3">
        <v>127</v>
      </c>
      <c r="J7" s="3">
        <v>127</v>
      </c>
      <c r="K7" s="3">
        <v>163</v>
      </c>
      <c r="L7" s="3">
        <v>142</v>
      </c>
      <c r="M7" s="3">
        <v>172</v>
      </c>
      <c r="N7" s="3">
        <v>0</v>
      </c>
      <c r="O7" s="3">
        <v>0</v>
      </c>
      <c r="P7" s="44">
        <f>SUM(D7:O7)</f>
        <v>1488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4">
        <f>SUM(Q7:AB7)</f>
        <v>0</v>
      </c>
      <c r="AD7" s="3">
        <v>0</v>
      </c>
      <c r="AE7" s="3">
        <v>96</v>
      </c>
      <c r="AF7" s="3"/>
      <c r="AG7" s="3"/>
      <c r="AH7" s="3"/>
      <c r="AI7" s="3"/>
      <c r="AJ7" s="3"/>
      <c r="AK7" s="3"/>
      <c r="AL7" s="3"/>
      <c r="AM7" s="3"/>
      <c r="AN7" s="3"/>
      <c r="AO7" s="3"/>
      <c r="AP7" s="44">
        <f>SUM(AD7:AO7)</f>
        <v>96</v>
      </c>
    </row>
    <row r="8" spans="1:42" ht="30" customHeight="1" x14ac:dyDescent="0.25">
      <c r="A8" s="46">
        <v>5</v>
      </c>
      <c r="B8" s="47" t="s">
        <v>52</v>
      </c>
      <c r="C8" s="6" t="s">
        <v>54</v>
      </c>
      <c r="D8" s="3">
        <v>143</v>
      </c>
      <c r="E8" s="3">
        <v>126</v>
      </c>
      <c r="F8" s="3">
        <v>158</v>
      </c>
      <c r="G8" s="3">
        <v>103</v>
      </c>
      <c r="H8" s="3">
        <v>86</v>
      </c>
      <c r="I8" s="3">
        <v>105</v>
      </c>
      <c r="J8" s="3">
        <v>118</v>
      </c>
      <c r="K8" s="3">
        <v>141</v>
      </c>
      <c r="L8" s="3">
        <v>97</v>
      </c>
      <c r="M8" s="3">
        <v>156</v>
      </c>
      <c r="N8" s="3">
        <v>0</v>
      </c>
      <c r="O8" s="3">
        <v>0</v>
      </c>
      <c r="P8" s="44">
        <f>SUM(D8:O8)</f>
        <v>1233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4">
        <f>SUM(Q8:AB8)</f>
        <v>0</v>
      </c>
      <c r="AD8" s="3">
        <v>0</v>
      </c>
      <c r="AE8" s="3">
        <v>71</v>
      </c>
      <c r="AF8" s="3"/>
      <c r="AG8" s="3"/>
      <c r="AH8" s="3"/>
      <c r="AI8" s="3"/>
      <c r="AJ8" s="3"/>
      <c r="AK8" s="3"/>
      <c r="AL8" s="3"/>
      <c r="AM8" s="3"/>
      <c r="AN8" s="3"/>
      <c r="AO8" s="3"/>
      <c r="AP8" s="44">
        <f>SUM(AD8:AO8)</f>
        <v>71</v>
      </c>
    </row>
    <row r="9" spans="1:42" x14ac:dyDescent="0.25">
      <c r="A9" s="98">
        <v>6</v>
      </c>
      <c r="B9" s="100" t="s">
        <v>127</v>
      </c>
      <c r="C9" s="55" t="s">
        <v>125</v>
      </c>
      <c r="D9" s="56">
        <v>53</v>
      </c>
      <c r="E9" s="56">
        <v>35</v>
      </c>
      <c r="F9" s="56">
        <v>59</v>
      </c>
      <c r="G9" s="56">
        <v>27</v>
      </c>
      <c r="H9" s="56">
        <v>34</v>
      </c>
      <c r="I9" s="56">
        <v>32</v>
      </c>
      <c r="J9" s="56">
        <v>38</v>
      </c>
      <c r="K9" s="56">
        <v>25</v>
      </c>
      <c r="L9" s="56">
        <v>0</v>
      </c>
      <c r="M9" s="56">
        <v>0</v>
      </c>
      <c r="N9" s="56">
        <v>0</v>
      </c>
      <c r="O9" s="56">
        <v>0</v>
      </c>
      <c r="P9" s="57">
        <f>SUM(D9:O9)</f>
        <v>303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44">
        <f>SUM(Q9:AB9)</f>
        <v>0</v>
      </c>
      <c r="AD9" s="3">
        <v>22</v>
      </c>
      <c r="AE9" s="3">
        <v>16</v>
      </c>
      <c r="AF9" s="3"/>
      <c r="AG9" s="3"/>
      <c r="AH9" s="3"/>
      <c r="AI9" s="3"/>
      <c r="AJ9" s="3"/>
      <c r="AK9" s="3"/>
      <c r="AL9" s="3"/>
      <c r="AM9" s="3"/>
      <c r="AN9" s="3"/>
      <c r="AO9" s="3"/>
      <c r="AP9" s="44">
        <f>SUM(AD9:AO9)</f>
        <v>38</v>
      </c>
    </row>
    <row r="10" spans="1:42" x14ac:dyDescent="0.25">
      <c r="A10" s="99"/>
      <c r="B10" s="101"/>
      <c r="C10" s="58" t="s">
        <v>126</v>
      </c>
      <c r="D10" s="59">
        <v>57</v>
      </c>
      <c r="E10" s="59">
        <v>39</v>
      </c>
      <c r="F10" s="59">
        <v>61</v>
      </c>
      <c r="G10" s="59">
        <v>41</v>
      </c>
      <c r="H10" s="59">
        <v>42</v>
      </c>
      <c r="I10" s="59">
        <v>68</v>
      </c>
      <c r="J10" s="59">
        <v>42</v>
      </c>
      <c r="K10" s="59">
        <v>25</v>
      </c>
      <c r="L10" s="59">
        <v>0</v>
      </c>
      <c r="M10" s="59">
        <v>0</v>
      </c>
      <c r="N10" s="59">
        <v>0</v>
      </c>
      <c r="O10" s="59">
        <v>0</v>
      </c>
      <c r="P10" s="60">
        <f t="shared" ref="P10" si="7">SUM(D10:O10)</f>
        <v>375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44">
        <f>SUM(Q10:AB10)</f>
        <v>0</v>
      </c>
      <c r="AD10" s="3">
        <v>318</v>
      </c>
      <c r="AE10" s="3">
        <v>456</v>
      </c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44">
        <f>SUM(AD10:AO10)</f>
        <v>774</v>
      </c>
    </row>
  </sheetData>
  <mergeCells count="8">
    <mergeCell ref="AD1:AO1"/>
    <mergeCell ref="AD2:AO2"/>
    <mergeCell ref="A9:A10"/>
    <mergeCell ref="D1:O1"/>
    <mergeCell ref="D2:O2"/>
    <mergeCell ref="Q1:AB1"/>
    <mergeCell ref="Q2:AB2"/>
    <mergeCell ref="B9:B10"/>
  </mergeCells>
  <pageMargins left="0.25" right="0.25" top="0.75" bottom="0.75" header="0.3" footer="0.3"/>
  <pageSetup scale="52" fitToHeight="0" orientation="landscape" r:id="rId1"/>
  <ignoredErrors>
    <ignoredError sqref="F6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"/>
  <sheetViews>
    <sheetView showGridLines="0" topLeftCell="B1" zoomScale="70" zoomScaleNormal="70" workbookViewId="0">
      <pane ySplit="3" topLeftCell="A4" activePane="bottomLeft" state="frozen"/>
      <selection pane="bottomLeft" activeCell="AE4" sqref="AE4"/>
    </sheetView>
  </sheetViews>
  <sheetFormatPr baseColWidth="10" defaultRowHeight="15" x14ac:dyDescent="0.25"/>
  <cols>
    <col min="1" max="1" width="5.5703125" customWidth="1"/>
    <col min="2" max="2" width="41.7109375" customWidth="1"/>
    <col min="3" max="14" width="15.42578125" hidden="1" customWidth="1"/>
    <col min="15" max="15" width="0" hidden="1" customWidth="1"/>
    <col min="16" max="27" width="15.42578125" hidden="1" customWidth="1"/>
    <col min="28" max="28" width="0" hidden="1" customWidth="1"/>
    <col min="29" max="40" width="15.42578125" bestFit="1" customWidth="1"/>
  </cols>
  <sheetData>
    <row r="1" spans="1:41" s="4" customFormat="1" ht="29.25" customHeight="1" x14ac:dyDescent="0.25">
      <c r="C1" s="96" t="s">
        <v>97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P1" s="96" t="s">
        <v>97</v>
      </c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C1" s="96" t="s">
        <v>97</v>
      </c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</row>
    <row r="2" spans="1:41" s="4" customFormat="1" ht="29.25" customHeight="1" x14ac:dyDescent="0.25">
      <c r="C2" s="97" t="s">
        <v>14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P2" s="97" t="s">
        <v>110</v>
      </c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C2" s="97" t="s">
        <v>132</v>
      </c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</row>
    <row r="3" spans="1:41" ht="22.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111</v>
      </c>
      <c r="P3" s="42" t="s">
        <v>113</v>
      </c>
      <c r="Q3" s="42" t="s">
        <v>114</v>
      </c>
      <c r="R3" s="42" t="s">
        <v>115</v>
      </c>
      <c r="S3" s="42" t="s">
        <v>116</v>
      </c>
      <c r="T3" s="42" t="s">
        <v>117</v>
      </c>
      <c r="U3" s="42" t="s">
        <v>118</v>
      </c>
      <c r="V3" s="42" t="s">
        <v>119</v>
      </c>
      <c r="W3" s="42" t="s">
        <v>120</v>
      </c>
      <c r="X3" s="42" t="s">
        <v>121</v>
      </c>
      <c r="Y3" s="42" t="s">
        <v>122</v>
      </c>
      <c r="Z3" s="42" t="s">
        <v>123</v>
      </c>
      <c r="AA3" s="42" t="s">
        <v>124</v>
      </c>
      <c r="AB3" s="43" t="s">
        <v>112</v>
      </c>
      <c r="AC3" s="2" t="s">
        <v>133</v>
      </c>
      <c r="AD3" s="2" t="s">
        <v>134</v>
      </c>
      <c r="AE3" s="2" t="s">
        <v>135</v>
      </c>
      <c r="AF3" s="2" t="s">
        <v>136</v>
      </c>
      <c r="AG3" s="2" t="s">
        <v>137</v>
      </c>
      <c r="AH3" s="2" t="s">
        <v>138</v>
      </c>
      <c r="AI3" s="2" t="s">
        <v>139</v>
      </c>
      <c r="AJ3" s="2" t="s">
        <v>140</v>
      </c>
      <c r="AK3" s="2" t="s">
        <v>141</v>
      </c>
      <c r="AL3" s="2" t="s">
        <v>142</v>
      </c>
      <c r="AM3" s="2" t="s">
        <v>143</v>
      </c>
      <c r="AN3" s="2" t="s">
        <v>144</v>
      </c>
      <c r="AO3" s="1" t="s">
        <v>128</v>
      </c>
    </row>
    <row r="4" spans="1:41" ht="65.25" customHeight="1" x14ac:dyDescent="0.25">
      <c r="A4" s="5">
        <v>1</v>
      </c>
      <c r="B4" s="6" t="s">
        <v>96</v>
      </c>
      <c r="C4" s="3">
        <v>6</v>
      </c>
      <c r="D4" s="3">
        <v>5</v>
      </c>
      <c r="E4" s="3">
        <v>17</v>
      </c>
      <c r="F4" s="3">
        <v>12</v>
      </c>
      <c r="G4" s="3">
        <v>7</v>
      </c>
      <c r="H4" s="3">
        <v>5</v>
      </c>
      <c r="I4" s="3">
        <v>5</v>
      </c>
      <c r="J4" s="3">
        <v>20</v>
      </c>
      <c r="K4" s="3">
        <v>15</v>
      </c>
      <c r="L4" s="3">
        <v>26</v>
      </c>
      <c r="M4" s="3">
        <v>9</v>
      </c>
      <c r="N4" s="3">
        <v>5</v>
      </c>
      <c r="O4" s="44">
        <f t="shared" ref="O4" si="0">SUM(C4:N4)</f>
        <v>132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4">
        <f t="shared" ref="AB4" si="1">SUM(P4:AA4)</f>
        <v>0</v>
      </c>
      <c r="AC4" s="3">
        <v>17</v>
      </c>
      <c r="AD4" s="3">
        <v>23</v>
      </c>
      <c r="AE4" s="3"/>
      <c r="AF4" s="3"/>
      <c r="AG4" s="3"/>
      <c r="AH4" s="3"/>
      <c r="AI4" s="3"/>
      <c r="AJ4" s="3"/>
      <c r="AK4" s="3"/>
      <c r="AL4" s="3"/>
      <c r="AM4" s="3"/>
      <c r="AN4" s="3"/>
      <c r="AO4" s="44">
        <f t="shared" ref="AO4" si="2">SUM(AC4:AN4)</f>
        <v>40</v>
      </c>
    </row>
  </sheetData>
  <mergeCells count="6">
    <mergeCell ref="C1:N1"/>
    <mergeCell ref="C2:N2"/>
    <mergeCell ref="P1:AA1"/>
    <mergeCell ref="P2:AA2"/>
    <mergeCell ref="AC1:AN1"/>
    <mergeCell ref="AC2:AN2"/>
  </mergeCells>
  <pageMargins left="0.25" right="0.25" top="0.75" bottom="0.75" header="0.3" footer="0.3"/>
  <pageSetup scale="5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0"/>
  <sheetViews>
    <sheetView showGridLines="0" zoomScale="70" zoomScaleNormal="70" workbookViewId="0">
      <pane ySplit="3" topLeftCell="A17" activePane="bottomLeft" state="frozen"/>
      <selection pane="bottomLeft" activeCell="AE4" sqref="AE4:AE40"/>
    </sheetView>
  </sheetViews>
  <sheetFormatPr baseColWidth="10" defaultRowHeight="15" x14ac:dyDescent="0.25"/>
  <cols>
    <col min="1" max="1" width="5.5703125" customWidth="1"/>
    <col min="2" max="2" width="22.28515625" customWidth="1"/>
    <col min="3" max="3" width="34.28515625" customWidth="1"/>
    <col min="4" max="15" width="15.42578125" hidden="1" customWidth="1"/>
    <col min="16" max="16" width="0" hidden="1" customWidth="1"/>
    <col min="17" max="28" width="15.42578125" hidden="1" customWidth="1"/>
    <col min="29" max="29" width="0" hidden="1" customWidth="1"/>
    <col min="30" max="41" width="15.42578125" bestFit="1" customWidth="1"/>
  </cols>
  <sheetData>
    <row r="1" spans="1:42" s="4" customFormat="1" ht="29.25" customHeight="1" x14ac:dyDescent="0.25">
      <c r="D1" s="96" t="s">
        <v>98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Q1" s="96" t="s">
        <v>98</v>
      </c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D1" s="96" t="s">
        <v>98</v>
      </c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</row>
    <row r="2" spans="1:42" s="4" customFormat="1" ht="29.25" customHeight="1" x14ac:dyDescent="0.25">
      <c r="D2" s="97" t="s">
        <v>14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Q2" s="97" t="s">
        <v>110</v>
      </c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D2" s="97" t="s">
        <v>132</v>
      </c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</row>
    <row r="3" spans="1:42" ht="22.5" customHeight="1" x14ac:dyDescent="0.25">
      <c r="A3" s="1" t="s">
        <v>0</v>
      </c>
      <c r="B3" s="1" t="s">
        <v>15</v>
      </c>
      <c r="C3" s="1" t="s">
        <v>101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" t="s">
        <v>111</v>
      </c>
      <c r="Q3" s="42" t="s">
        <v>113</v>
      </c>
      <c r="R3" s="42" t="s">
        <v>114</v>
      </c>
      <c r="S3" s="42" t="s">
        <v>115</v>
      </c>
      <c r="T3" s="42" t="s">
        <v>116</v>
      </c>
      <c r="U3" s="42" t="s">
        <v>117</v>
      </c>
      <c r="V3" s="42" t="s">
        <v>118</v>
      </c>
      <c r="W3" s="42" t="s">
        <v>119</v>
      </c>
      <c r="X3" s="42" t="s">
        <v>120</v>
      </c>
      <c r="Y3" s="42" t="s">
        <v>121</v>
      </c>
      <c r="Z3" s="42" t="s">
        <v>122</v>
      </c>
      <c r="AA3" s="42" t="s">
        <v>123</v>
      </c>
      <c r="AB3" s="42" t="s">
        <v>124</v>
      </c>
      <c r="AC3" s="43" t="s">
        <v>112</v>
      </c>
      <c r="AD3" s="2" t="s">
        <v>133</v>
      </c>
      <c r="AE3" s="2" t="s">
        <v>134</v>
      </c>
      <c r="AF3" s="2" t="s">
        <v>135</v>
      </c>
      <c r="AG3" s="2" t="s">
        <v>136</v>
      </c>
      <c r="AH3" s="2" t="s">
        <v>137</v>
      </c>
      <c r="AI3" s="2" t="s">
        <v>138</v>
      </c>
      <c r="AJ3" s="2" t="s">
        <v>139</v>
      </c>
      <c r="AK3" s="2" t="s">
        <v>140</v>
      </c>
      <c r="AL3" s="2" t="s">
        <v>141</v>
      </c>
      <c r="AM3" s="2" t="s">
        <v>142</v>
      </c>
      <c r="AN3" s="2" t="s">
        <v>143</v>
      </c>
      <c r="AO3" s="2" t="s">
        <v>144</v>
      </c>
      <c r="AP3" s="1" t="s">
        <v>128</v>
      </c>
    </row>
    <row r="4" spans="1:42" ht="30" customHeight="1" x14ac:dyDescent="0.25">
      <c r="A4" s="48">
        <v>1</v>
      </c>
      <c r="B4" s="49" t="s">
        <v>56</v>
      </c>
      <c r="C4" s="6" t="s">
        <v>57</v>
      </c>
      <c r="D4" s="12">
        <v>18</v>
      </c>
      <c r="E4" s="12">
        <f>5+15</f>
        <v>20</v>
      </c>
      <c r="F4" s="13">
        <f>3+31</f>
        <v>34</v>
      </c>
      <c r="G4" s="12">
        <f>2+15</f>
        <v>17</v>
      </c>
      <c r="H4" s="12">
        <f>4+12</f>
        <v>16</v>
      </c>
      <c r="I4" s="12">
        <f>25+4</f>
        <v>29</v>
      </c>
      <c r="J4" s="12">
        <f>26</f>
        <v>26</v>
      </c>
      <c r="K4" s="12">
        <f>1+27</f>
        <v>28</v>
      </c>
      <c r="L4" s="25">
        <v>23</v>
      </c>
      <c r="M4" s="31">
        <v>26</v>
      </c>
      <c r="N4" s="12">
        <v>24</v>
      </c>
      <c r="O4" s="13">
        <v>7</v>
      </c>
      <c r="P4" s="44">
        <f t="shared" ref="P4:P40" si="0">SUM(D4:O4)</f>
        <v>268</v>
      </c>
      <c r="Q4" s="12"/>
      <c r="R4" s="12"/>
      <c r="S4" s="13"/>
      <c r="T4" s="12"/>
      <c r="U4" s="12"/>
      <c r="V4" s="12"/>
      <c r="W4" s="12"/>
      <c r="X4" s="12"/>
      <c r="Y4" s="25"/>
      <c r="Z4" s="31"/>
      <c r="AA4" s="12"/>
      <c r="AB4" s="13"/>
      <c r="AC4" s="44">
        <f t="shared" ref="AC4:AC40" si="1">SUM(Q4:AB4)</f>
        <v>0</v>
      </c>
      <c r="AD4" s="12">
        <f>24+1</f>
        <v>25</v>
      </c>
      <c r="AE4" s="12">
        <f>14+3</f>
        <v>17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44">
        <f t="shared" ref="AP4:AP40" si="2">SUM(AD4:AO4)</f>
        <v>42</v>
      </c>
    </row>
    <row r="5" spans="1:42" ht="30" customHeight="1" x14ac:dyDescent="0.25">
      <c r="A5" s="48">
        <v>2</v>
      </c>
      <c r="B5" s="49" t="s">
        <v>56</v>
      </c>
      <c r="C5" s="6" t="s">
        <v>58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25">
        <v>0</v>
      </c>
      <c r="M5" s="31">
        <v>0</v>
      </c>
      <c r="N5" s="12">
        <v>0</v>
      </c>
      <c r="O5" s="12">
        <v>0</v>
      </c>
      <c r="P5" s="44">
        <f t="shared" si="0"/>
        <v>0</v>
      </c>
      <c r="Q5" s="12"/>
      <c r="R5" s="12"/>
      <c r="S5" s="12"/>
      <c r="T5" s="12"/>
      <c r="U5" s="12"/>
      <c r="V5" s="12"/>
      <c r="W5" s="12"/>
      <c r="X5" s="12"/>
      <c r="Y5" s="25"/>
      <c r="Z5" s="31"/>
      <c r="AA5" s="12"/>
      <c r="AB5" s="12"/>
      <c r="AC5" s="44">
        <f t="shared" si="1"/>
        <v>0</v>
      </c>
      <c r="AD5" s="12">
        <v>0</v>
      </c>
      <c r="AE5" s="12">
        <v>0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44">
        <f t="shared" si="2"/>
        <v>0</v>
      </c>
    </row>
    <row r="6" spans="1:42" ht="30" customHeight="1" x14ac:dyDescent="0.25">
      <c r="A6" s="48">
        <v>3</v>
      </c>
      <c r="B6" s="49" t="s">
        <v>56</v>
      </c>
      <c r="C6" s="6" t="s">
        <v>59</v>
      </c>
      <c r="D6" s="12">
        <v>4</v>
      </c>
      <c r="E6" s="12">
        <f>1</f>
        <v>1</v>
      </c>
      <c r="F6" s="13">
        <f>8</f>
        <v>8</v>
      </c>
      <c r="G6" s="12">
        <f>6</f>
        <v>6</v>
      </c>
      <c r="H6" s="12">
        <v>0</v>
      </c>
      <c r="I6" s="12">
        <f>2</f>
        <v>2</v>
      </c>
      <c r="J6" s="12">
        <f>1</f>
        <v>1</v>
      </c>
      <c r="K6" s="12">
        <v>43</v>
      </c>
      <c r="L6" s="26">
        <v>1</v>
      </c>
      <c r="M6" s="31">
        <v>0</v>
      </c>
      <c r="N6" s="12">
        <v>0</v>
      </c>
      <c r="O6" s="12">
        <v>0</v>
      </c>
      <c r="P6" s="44">
        <f t="shared" si="0"/>
        <v>66</v>
      </c>
      <c r="Q6" s="12"/>
      <c r="R6" s="12"/>
      <c r="S6" s="13"/>
      <c r="T6" s="12"/>
      <c r="U6" s="12"/>
      <c r="V6" s="12"/>
      <c r="W6" s="12"/>
      <c r="X6" s="12"/>
      <c r="Y6" s="26"/>
      <c r="Z6" s="31"/>
      <c r="AA6" s="12"/>
      <c r="AB6" s="12"/>
      <c r="AC6" s="44">
        <f t="shared" si="1"/>
        <v>0</v>
      </c>
      <c r="AD6" s="12">
        <v>0</v>
      </c>
      <c r="AE6" s="12">
        <v>0</v>
      </c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44">
        <f t="shared" si="2"/>
        <v>0</v>
      </c>
    </row>
    <row r="7" spans="1:42" ht="30" customHeight="1" x14ac:dyDescent="0.25">
      <c r="A7" s="48">
        <v>4</v>
      </c>
      <c r="B7" s="49" t="s">
        <v>56</v>
      </c>
      <c r="C7" s="6" t="s">
        <v>60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25">
        <v>0</v>
      </c>
      <c r="M7" s="31">
        <v>0</v>
      </c>
      <c r="N7" s="12">
        <v>1</v>
      </c>
      <c r="O7" s="13">
        <v>1</v>
      </c>
      <c r="P7" s="44">
        <f t="shared" si="0"/>
        <v>2</v>
      </c>
      <c r="Q7" s="12"/>
      <c r="R7" s="12"/>
      <c r="S7" s="12"/>
      <c r="T7" s="12"/>
      <c r="U7" s="12"/>
      <c r="V7" s="12"/>
      <c r="W7" s="12"/>
      <c r="X7" s="12"/>
      <c r="Y7" s="25"/>
      <c r="Z7" s="31"/>
      <c r="AA7" s="12"/>
      <c r="AB7" s="13"/>
      <c r="AC7" s="44">
        <f t="shared" si="1"/>
        <v>0</v>
      </c>
      <c r="AD7" s="12">
        <v>0</v>
      </c>
      <c r="AE7" s="12">
        <v>0</v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44">
        <f t="shared" si="2"/>
        <v>0</v>
      </c>
    </row>
    <row r="8" spans="1:42" ht="30" customHeight="1" x14ac:dyDescent="0.25">
      <c r="A8" s="48">
        <v>5</v>
      </c>
      <c r="B8" s="49" t="s">
        <v>56</v>
      </c>
      <c r="C8" s="6" t="s">
        <v>61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25">
        <v>0</v>
      </c>
      <c r="M8" s="31">
        <v>0</v>
      </c>
      <c r="N8" s="12">
        <v>0</v>
      </c>
      <c r="O8" s="12">
        <v>0</v>
      </c>
      <c r="P8" s="44">
        <f t="shared" si="0"/>
        <v>0</v>
      </c>
      <c r="Q8" s="12"/>
      <c r="R8" s="12"/>
      <c r="S8" s="12"/>
      <c r="T8" s="12"/>
      <c r="U8" s="12"/>
      <c r="V8" s="12"/>
      <c r="W8" s="12"/>
      <c r="X8" s="12"/>
      <c r="Y8" s="25"/>
      <c r="Z8" s="31"/>
      <c r="AA8" s="12"/>
      <c r="AB8" s="12"/>
      <c r="AC8" s="44">
        <f t="shared" si="1"/>
        <v>0</v>
      </c>
      <c r="AD8" s="12">
        <v>0</v>
      </c>
      <c r="AE8" s="12">
        <v>0</v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44">
        <f t="shared" si="2"/>
        <v>0</v>
      </c>
    </row>
    <row r="9" spans="1:42" ht="30" customHeight="1" x14ac:dyDescent="0.25">
      <c r="A9" s="48">
        <v>6</v>
      </c>
      <c r="B9" s="49" t="s">
        <v>56</v>
      </c>
      <c r="C9" s="6" t="s">
        <v>62</v>
      </c>
      <c r="D9" s="12">
        <v>1.032</v>
      </c>
      <c r="E9" s="12">
        <f>4+4+444+2</f>
        <v>454</v>
      </c>
      <c r="F9" s="13">
        <f>2+1+781+1+1</f>
        <v>786</v>
      </c>
      <c r="G9" s="12">
        <f>2+452+1</f>
        <v>455</v>
      </c>
      <c r="H9" s="12">
        <f>14+496+1</f>
        <v>511</v>
      </c>
      <c r="I9" s="12">
        <f>3+624+1+7</f>
        <v>635</v>
      </c>
      <c r="J9" s="12">
        <f>1+2+1+274</f>
        <v>278</v>
      </c>
      <c r="K9" s="12">
        <f>2+3+593+1+1</f>
        <v>600</v>
      </c>
      <c r="L9" s="25">
        <v>573</v>
      </c>
      <c r="M9" s="31">
        <v>626</v>
      </c>
      <c r="N9" s="12">
        <v>663</v>
      </c>
      <c r="O9" s="13">
        <v>318</v>
      </c>
      <c r="P9" s="44">
        <f t="shared" si="0"/>
        <v>5900.0320000000002</v>
      </c>
      <c r="Q9" s="12"/>
      <c r="R9" s="12"/>
      <c r="S9" s="13"/>
      <c r="T9" s="12"/>
      <c r="U9" s="12"/>
      <c r="V9" s="12"/>
      <c r="W9" s="12"/>
      <c r="X9" s="12"/>
      <c r="Y9" s="25"/>
      <c r="Z9" s="31"/>
      <c r="AA9" s="12"/>
      <c r="AB9" s="13"/>
      <c r="AC9" s="44">
        <f t="shared" si="1"/>
        <v>0</v>
      </c>
      <c r="AD9" s="12">
        <f>2+3+873+3</f>
        <v>881</v>
      </c>
      <c r="AE9" s="12">
        <f>4+2+4</f>
        <v>10</v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44">
        <f t="shared" si="2"/>
        <v>891</v>
      </c>
    </row>
    <row r="10" spans="1:42" ht="30" customHeight="1" x14ac:dyDescent="0.25">
      <c r="A10" s="48">
        <v>7</v>
      </c>
      <c r="B10" s="49" t="s">
        <v>56</v>
      </c>
      <c r="C10" s="6" t="s">
        <v>63</v>
      </c>
      <c r="D10" s="12">
        <v>4</v>
      </c>
      <c r="E10" s="12">
        <v>6</v>
      </c>
      <c r="F10" s="13">
        <f>3</f>
        <v>3</v>
      </c>
      <c r="G10" s="12">
        <f>4</f>
        <v>4</v>
      </c>
      <c r="H10" s="12">
        <f>5</f>
        <v>5</v>
      </c>
      <c r="I10" s="12">
        <v>2</v>
      </c>
      <c r="J10" s="12">
        <v>0</v>
      </c>
      <c r="K10" s="12">
        <v>3</v>
      </c>
      <c r="L10" s="25">
        <v>0</v>
      </c>
      <c r="M10" s="31">
        <v>0</v>
      </c>
      <c r="N10" s="12">
        <v>1</v>
      </c>
      <c r="O10" s="13">
        <v>0</v>
      </c>
      <c r="P10" s="44">
        <f t="shared" si="0"/>
        <v>28</v>
      </c>
      <c r="Q10" s="12"/>
      <c r="R10" s="12"/>
      <c r="S10" s="13"/>
      <c r="T10" s="12"/>
      <c r="U10" s="12"/>
      <c r="V10" s="12"/>
      <c r="W10" s="12"/>
      <c r="X10" s="12"/>
      <c r="Y10" s="25"/>
      <c r="Z10" s="31"/>
      <c r="AA10" s="12"/>
      <c r="AB10" s="13"/>
      <c r="AC10" s="44">
        <f t="shared" si="1"/>
        <v>0</v>
      </c>
      <c r="AD10" s="12">
        <v>0</v>
      </c>
      <c r="AE10" s="12">
        <v>1</v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44">
        <f t="shared" si="2"/>
        <v>1</v>
      </c>
    </row>
    <row r="11" spans="1:42" ht="30" customHeight="1" x14ac:dyDescent="0.25">
      <c r="A11" s="48">
        <v>8</v>
      </c>
      <c r="B11" s="49" t="s">
        <v>64</v>
      </c>
      <c r="C11" s="6" t="s">
        <v>57</v>
      </c>
      <c r="D11" s="12">
        <v>11</v>
      </c>
      <c r="E11" s="12">
        <f>8+20</f>
        <v>28</v>
      </c>
      <c r="F11" s="13">
        <f>2+9</f>
        <v>11</v>
      </c>
      <c r="G11" s="12">
        <f>13</f>
        <v>13</v>
      </c>
      <c r="H11" s="12">
        <f>3+19</f>
        <v>22</v>
      </c>
      <c r="I11" s="12">
        <f>20</f>
        <v>20</v>
      </c>
      <c r="J11" s="12">
        <f>5+11</f>
        <v>16</v>
      </c>
      <c r="K11" s="12">
        <f>1+7</f>
        <v>8</v>
      </c>
      <c r="L11" s="25">
        <v>12</v>
      </c>
      <c r="M11" s="31">
        <v>19</v>
      </c>
      <c r="N11" s="12">
        <v>7</v>
      </c>
      <c r="O11" s="13">
        <v>9</v>
      </c>
      <c r="P11" s="44">
        <f t="shared" si="0"/>
        <v>176</v>
      </c>
      <c r="Q11" s="12"/>
      <c r="R11" s="12"/>
      <c r="S11" s="13"/>
      <c r="T11" s="12"/>
      <c r="U11" s="12"/>
      <c r="V11" s="12"/>
      <c r="W11" s="12"/>
      <c r="X11" s="12"/>
      <c r="Y11" s="25"/>
      <c r="Z11" s="31"/>
      <c r="AA11" s="12"/>
      <c r="AB11" s="13"/>
      <c r="AC11" s="44">
        <f t="shared" si="1"/>
        <v>0</v>
      </c>
      <c r="AD11" s="12">
        <f>16+4</f>
        <v>20</v>
      </c>
      <c r="AE11" s="12">
        <f>7+3</f>
        <v>10</v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44">
        <f t="shared" si="2"/>
        <v>30</v>
      </c>
    </row>
    <row r="12" spans="1:42" ht="30" customHeight="1" x14ac:dyDescent="0.25">
      <c r="A12" s="48">
        <v>9</v>
      </c>
      <c r="B12" s="49" t="s">
        <v>64</v>
      </c>
      <c r="C12" s="6" t="s">
        <v>58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25">
        <v>0</v>
      </c>
      <c r="M12" s="31">
        <v>0</v>
      </c>
      <c r="N12" s="12">
        <v>0</v>
      </c>
      <c r="O12" s="12">
        <v>0</v>
      </c>
      <c r="P12" s="44">
        <f t="shared" si="0"/>
        <v>0</v>
      </c>
      <c r="Q12" s="12"/>
      <c r="R12" s="12"/>
      <c r="S12" s="12"/>
      <c r="T12" s="12"/>
      <c r="U12" s="12"/>
      <c r="V12" s="12"/>
      <c r="W12" s="12"/>
      <c r="X12" s="12"/>
      <c r="Y12" s="25"/>
      <c r="Z12" s="31"/>
      <c r="AA12" s="12"/>
      <c r="AB12" s="12"/>
      <c r="AC12" s="44">
        <f t="shared" si="1"/>
        <v>0</v>
      </c>
      <c r="AD12" s="12">
        <v>0</v>
      </c>
      <c r="AE12" s="12">
        <v>0</v>
      </c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44">
        <f t="shared" si="2"/>
        <v>0</v>
      </c>
    </row>
    <row r="13" spans="1:42" ht="30" customHeight="1" x14ac:dyDescent="0.25">
      <c r="A13" s="48">
        <v>10</v>
      </c>
      <c r="B13" s="49" t="s">
        <v>64</v>
      </c>
      <c r="C13" s="6" t="s">
        <v>59</v>
      </c>
      <c r="D13" s="12">
        <v>0</v>
      </c>
      <c r="E13" s="12">
        <f>2</f>
        <v>2</v>
      </c>
      <c r="F13" s="13">
        <f>1</f>
        <v>1</v>
      </c>
      <c r="G13" s="12">
        <f>1</f>
        <v>1</v>
      </c>
      <c r="H13" s="12">
        <f>1</f>
        <v>1</v>
      </c>
      <c r="I13" s="12">
        <v>0</v>
      </c>
      <c r="J13" s="12">
        <v>0</v>
      </c>
      <c r="K13" s="12">
        <v>43</v>
      </c>
      <c r="L13" s="26">
        <v>0</v>
      </c>
      <c r="M13" s="31">
        <v>0</v>
      </c>
      <c r="N13" s="12">
        <v>0</v>
      </c>
      <c r="O13" s="12">
        <v>0</v>
      </c>
      <c r="P13" s="44">
        <f t="shared" si="0"/>
        <v>48</v>
      </c>
      <c r="Q13" s="12"/>
      <c r="R13" s="12"/>
      <c r="S13" s="13"/>
      <c r="T13" s="12"/>
      <c r="U13" s="12"/>
      <c r="V13" s="12"/>
      <c r="W13" s="12"/>
      <c r="X13" s="12"/>
      <c r="Y13" s="26"/>
      <c r="Z13" s="31"/>
      <c r="AA13" s="12"/>
      <c r="AB13" s="12"/>
      <c r="AC13" s="44">
        <f t="shared" si="1"/>
        <v>0</v>
      </c>
      <c r="AD13" s="12">
        <v>0</v>
      </c>
      <c r="AE13" s="12">
        <v>0</v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44">
        <f t="shared" si="2"/>
        <v>0</v>
      </c>
    </row>
    <row r="14" spans="1:42" ht="30" customHeight="1" x14ac:dyDescent="0.25">
      <c r="A14" s="48">
        <v>11</v>
      </c>
      <c r="B14" s="49" t="s">
        <v>64</v>
      </c>
      <c r="C14" s="6" t="s">
        <v>60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25">
        <v>0</v>
      </c>
      <c r="M14" s="31">
        <v>0</v>
      </c>
      <c r="N14" s="12">
        <v>0</v>
      </c>
      <c r="O14" s="12">
        <v>0</v>
      </c>
      <c r="P14" s="44">
        <f t="shared" si="0"/>
        <v>0</v>
      </c>
      <c r="Q14" s="12"/>
      <c r="R14" s="12"/>
      <c r="S14" s="12"/>
      <c r="T14" s="12"/>
      <c r="U14" s="12"/>
      <c r="V14" s="12"/>
      <c r="W14" s="12"/>
      <c r="X14" s="12"/>
      <c r="Y14" s="25"/>
      <c r="Z14" s="31"/>
      <c r="AA14" s="12"/>
      <c r="AB14" s="12"/>
      <c r="AC14" s="44">
        <f t="shared" si="1"/>
        <v>0</v>
      </c>
      <c r="AD14" s="12">
        <v>0</v>
      </c>
      <c r="AE14" s="12">
        <v>0</v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44">
        <f t="shared" si="2"/>
        <v>0</v>
      </c>
    </row>
    <row r="15" spans="1:42" ht="30" customHeight="1" x14ac:dyDescent="0.25">
      <c r="A15" s="48">
        <v>12</v>
      </c>
      <c r="B15" s="49" t="s">
        <v>64</v>
      </c>
      <c r="C15" s="6" t="s">
        <v>61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25">
        <v>0</v>
      </c>
      <c r="M15" s="31">
        <v>0</v>
      </c>
      <c r="N15" s="12">
        <v>0</v>
      </c>
      <c r="O15" s="12">
        <v>0</v>
      </c>
      <c r="P15" s="44">
        <f t="shared" si="0"/>
        <v>0</v>
      </c>
      <c r="Q15" s="12"/>
      <c r="R15" s="12"/>
      <c r="S15" s="12"/>
      <c r="T15" s="12"/>
      <c r="U15" s="12"/>
      <c r="V15" s="12"/>
      <c r="W15" s="12"/>
      <c r="X15" s="12"/>
      <c r="Y15" s="25"/>
      <c r="Z15" s="31"/>
      <c r="AA15" s="12"/>
      <c r="AB15" s="12"/>
      <c r="AC15" s="44">
        <f t="shared" si="1"/>
        <v>0</v>
      </c>
      <c r="AD15" s="12">
        <v>0</v>
      </c>
      <c r="AE15" s="12">
        <v>0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44">
        <f t="shared" si="2"/>
        <v>0</v>
      </c>
    </row>
    <row r="16" spans="1:42" ht="30" customHeight="1" x14ac:dyDescent="0.25">
      <c r="A16" s="48">
        <v>13</v>
      </c>
      <c r="B16" s="49" t="s">
        <v>64</v>
      </c>
      <c r="C16" s="6" t="s">
        <v>62</v>
      </c>
      <c r="D16" s="12">
        <v>6</v>
      </c>
      <c r="E16" s="12">
        <f>2+13+26</f>
        <v>41</v>
      </c>
      <c r="F16" s="13">
        <f>2+70+3</f>
        <v>75</v>
      </c>
      <c r="G16" s="12">
        <f>3+14+11</f>
        <v>28</v>
      </c>
      <c r="H16" s="12">
        <f>2+2+12</f>
        <v>16</v>
      </c>
      <c r="I16" s="12">
        <f>6+43+3+13</f>
        <v>65</v>
      </c>
      <c r="J16" s="12">
        <f>2+6+5+1</f>
        <v>14</v>
      </c>
      <c r="K16" s="12">
        <f>4+28+23+4</f>
        <v>59</v>
      </c>
      <c r="L16" s="25">
        <v>12</v>
      </c>
      <c r="M16" s="31">
        <v>12</v>
      </c>
      <c r="N16" s="12">
        <v>16</v>
      </c>
      <c r="O16" s="13">
        <v>9</v>
      </c>
      <c r="P16" s="44">
        <f t="shared" si="0"/>
        <v>353</v>
      </c>
      <c r="Q16" s="12"/>
      <c r="R16" s="12"/>
      <c r="S16" s="13"/>
      <c r="T16" s="12"/>
      <c r="U16" s="12"/>
      <c r="V16" s="12"/>
      <c r="W16" s="12"/>
      <c r="X16" s="12"/>
      <c r="Y16" s="25"/>
      <c r="Z16" s="31"/>
      <c r="AA16" s="12"/>
      <c r="AB16" s="13"/>
      <c r="AC16" s="44">
        <f t="shared" si="1"/>
        <v>0</v>
      </c>
      <c r="AD16" s="12">
        <f>1+6+5</f>
        <v>12</v>
      </c>
      <c r="AE16" s="12">
        <f>3+3</f>
        <v>6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44">
        <f t="shared" si="2"/>
        <v>18</v>
      </c>
    </row>
    <row r="17" spans="1:42" ht="30" customHeight="1" x14ac:dyDescent="0.25">
      <c r="A17" s="48">
        <v>14</v>
      </c>
      <c r="B17" s="49" t="s">
        <v>64</v>
      </c>
      <c r="C17" s="6" t="s">
        <v>63</v>
      </c>
      <c r="D17" s="12">
        <v>2</v>
      </c>
      <c r="E17" s="12">
        <v>1</v>
      </c>
      <c r="F17" s="13">
        <f>1</f>
        <v>1</v>
      </c>
      <c r="G17" s="12">
        <f>2</f>
        <v>2</v>
      </c>
      <c r="H17" s="12">
        <f>1</f>
        <v>1</v>
      </c>
      <c r="I17" s="12">
        <v>2</v>
      </c>
      <c r="J17" s="12">
        <v>0</v>
      </c>
      <c r="K17" s="12">
        <v>0</v>
      </c>
      <c r="L17" s="25">
        <v>1</v>
      </c>
      <c r="M17" s="31">
        <v>0</v>
      </c>
      <c r="N17" s="12">
        <v>0</v>
      </c>
      <c r="O17" s="13">
        <v>0</v>
      </c>
      <c r="P17" s="44">
        <f t="shared" si="0"/>
        <v>10</v>
      </c>
      <c r="Q17" s="12"/>
      <c r="R17" s="12"/>
      <c r="S17" s="13"/>
      <c r="T17" s="12"/>
      <c r="U17" s="12"/>
      <c r="V17" s="12"/>
      <c r="W17" s="12"/>
      <c r="X17" s="12"/>
      <c r="Y17" s="25"/>
      <c r="Z17" s="31"/>
      <c r="AA17" s="12"/>
      <c r="AB17" s="13"/>
      <c r="AC17" s="44">
        <f t="shared" si="1"/>
        <v>0</v>
      </c>
      <c r="AD17" s="12">
        <v>0</v>
      </c>
      <c r="AE17" s="12">
        <v>1</v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44">
        <f t="shared" si="2"/>
        <v>1</v>
      </c>
    </row>
    <row r="18" spans="1:42" ht="30" customHeight="1" x14ac:dyDescent="0.25">
      <c r="A18" s="48">
        <v>15</v>
      </c>
      <c r="B18" s="49" t="s">
        <v>65</v>
      </c>
      <c r="C18" s="6" t="s">
        <v>57</v>
      </c>
      <c r="D18" s="12">
        <v>4</v>
      </c>
      <c r="E18" s="12">
        <f>12</f>
        <v>12</v>
      </c>
      <c r="F18" s="13">
        <f>1</f>
        <v>1</v>
      </c>
      <c r="G18" s="12">
        <f>1</f>
        <v>1</v>
      </c>
      <c r="H18" s="12">
        <f>1</f>
        <v>1</v>
      </c>
      <c r="I18" s="12">
        <f>2</f>
        <v>2</v>
      </c>
      <c r="J18" s="12">
        <f>1+2</f>
        <v>3</v>
      </c>
      <c r="K18" s="12">
        <v>2</v>
      </c>
      <c r="L18" s="25">
        <v>3</v>
      </c>
      <c r="M18" s="31">
        <v>6</v>
      </c>
      <c r="N18" s="12">
        <v>2</v>
      </c>
      <c r="O18" s="13">
        <v>5</v>
      </c>
      <c r="P18" s="44">
        <f t="shared" si="0"/>
        <v>42</v>
      </c>
      <c r="Q18" s="12"/>
      <c r="R18" s="12"/>
      <c r="S18" s="13"/>
      <c r="T18" s="12"/>
      <c r="U18" s="12"/>
      <c r="V18" s="12"/>
      <c r="W18" s="12"/>
      <c r="X18" s="12"/>
      <c r="Y18" s="25"/>
      <c r="Z18" s="31"/>
      <c r="AA18" s="12"/>
      <c r="AB18" s="13"/>
      <c r="AC18" s="44">
        <f t="shared" si="1"/>
        <v>0</v>
      </c>
      <c r="AD18" s="12">
        <f>4+2</f>
        <v>6</v>
      </c>
      <c r="AE18" s="12">
        <f>2+2</f>
        <v>4</v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44">
        <f t="shared" si="2"/>
        <v>10</v>
      </c>
    </row>
    <row r="19" spans="1:42" ht="30" customHeight="1" x14ac:dyDescent="0.25">
      <c r="A19" s="48">
        <v>16</v>
      </c>
      <c r="B19" s="49" t="s">
        <v>65</v>
      </c>
      <c r="C19" s="6" t="s">
        <v>58</v>
      </c>
      <c r="D19" s="12">
        <v>0</v>
      </c>
      <c r="E19" s="12">
        <v>0</v>
      </c>
      <c r="F19" s="13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25">
        <v>0</v>
      </c>
      <c r="M19" s="31">
        <v>0</v>
      </c>
      <c r="N19" s="12">
        <v>0</v>
      </c>
      <c r="O19" s="12">
        <v>0</v>
      </c>
      <c r="P19" s="44">
        <f t="shared" si="0"/>
        <v>0</v>
      </c>
      <c r="Q19" s="12"/>
      <c r="R19" s="12"/>
      <c r="S19" s="13"/>
      <c r="T19" s="12"/>
      <c r="U19" s="12"/>
      <c r="V19" s="12"/>
      <c r="W19" s="12"/>
      <c r="X19" s="12"/>
      <c r="Y19" s="25"/>
      <c r="Z19" s="31"/>
      <c r="AA19" s="12"/>
      <c r="AB19" s="12"/>
      <c r="AC19" s="44">
        <f t="shared" si="1"/>
        <v>0</v>
      </c>
      <c r="AD19" s="12">
        <v>0</v>
      </c>
      <c r="AE19" s="12">
        <v>0</v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44">
        <f t="shared" si="2"/>
        <v>0</v>
      </c>
    </row>
    <row r="20" spans="1:42" ht="30" customHeight="1" x14ac:dyDescent="0.25">
      <c r="A20" s="48">
        <v>17</v>
      </c>
      <c r="B20" s="49" t="s">
        <v>65</v>
      </c>
      <c r="C20" s="6" t="s">
        <v>59</v>
      </c>
      <c r="D20" s="12">
        <v>0</v>
      </c>
      <c r="E20" s="12">
        <f>2</f>
        <v>2</v>
      </c>
      <c r="F20" s="13">
        <f>1</f>
        <v>1</v>
      </c>
      <c r="G20" s="12">
        <f>1</f>
        <v>1</v>
      </c>
      <c r="H20" s="12">
        <f>1</f>
        <v>1</v>
      </c>
      <c r="I20" s="12">
        <v>0</v>
      </c>
      <c r="J20" s="12">
        <v>0</v>
      </c>
      <c r="K20" s="12">
        <v>43</v>
      </c>
      <c r="L20" s="26">
        <v>0</v>
      </c>
      <c r="M20" s="31">
        <v>0</v>
      </c>
      <c r="N20" s="12">
        <v>0</v>
      </c>
      <c r="O20" s="12">
        <v>0</v>
      </c>
      <c r="P20" s="44">
        <f t="shared" si="0"/>
        <v>48</v>
      </c>
      <c r="Q20" s="12"/>
      <c r="R20" s="12"/>
      <c r="S20" s="13"/>
      <c r="T20" s="12"/>
      <c r="U20" s="12"/>
      <c r="V20" s="12"/>
      <c r="W20" s="12"/>
      <c r="X20" s="12"/>
      <c r="Y20" s="26"/>
      <c r="Z20" s="31"/>
      <c r="AA20" s="12"/>
      <c r="AB20" s="12"/>
      <c r="AC20" s="44">
        <f t="shared" si="1"/>
        <v>0</v>
      </c>
      <c r="AD20" s="12">
        <v>0</v>
      </c>
      <c r="AE20" s="12">
        <v>0</v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44">
        <f t="shared" si="2"/>
        <v>0</v>
      </c>
    </row>
    <row r="21" spans="1:42" ht="30" customHeight="1" x14ac:dyDescent="0.25">
      <c r="A21" s="48">
        <v>18</v>
      </c>
      <c r="B21" s="49" t="s">
        <v>65</v>
      </c>
      <c r="C21" s="6" t="s">
        <v>60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25">
        <v>0</v>
      </c>
      <c r="M21" s="31">
        <v>0</v>
      </c>
      <c r="N21" s="12">
        <v>0</v>
      </c>
      <c r="O21" s="12">
        <v>0</v>
      </c>
      <c r="P21" s="44">
        <f t="shared" si="0"/>
        <v>0</v>
      </c>
      <c r="Q21" s="12"/>
      <c r="R21" s="12"/>
      <c r="S21" s="12"/>
      <c r="T21" s="12"/>
      <c r="U21" s="12"/>
      <c r="V21" s="12"/>
      <c r="W21" s="12"/>
      <c r="X21" s="12"/>
      <c r="Y21" s="25"/>
      <c r="Z21" s="31"/>
      <c r="AA21" s="12"/>
      <c r="AB21" s="12"/>
      <c r="AC21" s="44">
        <f t="shared" si="1"/>
        <v>0</v>
      </c>
      <c r="AD21" s="12">
        <v>0</v>
      </c>
      <c r="AE21" s="12">
        <v>0</v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44">
        <f t="shared" si="2"/>
        <v>0</v>
      </c>
    </row>
    <row r="22" spans="1:42" ht="30" customHeight="1" x14ac:dyDescent="0.25">
      <c r="A22" s="48">
        <v>19</v>
      </c>
      <c r="B22" s="49" t="s">
        <v>65</v>
      </c>
      <c r="C22" s="6" t="s">
        <v>61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25">
        <v>0</v>
      </c>
      <c r="M22" s="31">
        <v>0</v>
      </c>
      <c r="N22" s="12">
        <v>0</v>
      </c>
      <c r="O22" s="12">
        <v>0</v>
      </c>
      <c r="P22" s="44">
        <f t="shared" si="0"/>
        <v>0</v>
      </c>
      <c r="Q22" s="12"/>
      <c r="R22" s="12"/>
      <c r="S22" s="12"/>
      <c r="T22" s="12"/>
      <c r="U22" s="12"/>
      <c r="V22" s="12"/>
      <c r="W22" s="12"/>
      <c r="X22" s="12"/>
      <c r="Y22" s="25"/>
      <c r="Z22" s="31"/>
      <c r="AA22" s="12"/>
      <c r="AB22" s="12"/>
      <c r="AC22" s="44">
        <f t="shared" si="1"/>
        <v>0</v>
      </c>
      <c r="AD22" s="12">
        <v>0</v>
      </c>
      <c r="AE22" s="12">
        <v>0</v>
      </c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44">
        <f t="shared" si="2"/>
        <v>0</v>
      </c>
    </row>
    <row r="23" spans="1:42" ht="30" customHeight="1" x14ac:dyDescent="0.25">
      <c r="A23" s="48">
        <v>20</v>
      </c>
      <c r="B23" s="49" t="s">
        <v>65</v>
      </c>
      <c r="C23" s="6" t="s">
        <v>62</v>
      </c>
      <c r="D23" s="12">
        <v>2</v>
      </c>
      <c r="E23" s="12">
        <f>5+10</f>
        <v>15</v>
      </c>
      <c r="F23" s="13">
        <f>19+3</f>
        <v>22</v>
      </c>
      <c r="G23" s="12">
        <f>1+8+3</f>
        <v>12</v>
      </c>
      <c r="H23" s="12">
        <f>1+2+2</f>
        <v>5</v>
      </c>
      <c r="I23" s="12">
        <f>5+8+6</f>
        <v>19</v>
      </c>
      <c r="J23" s="12">
        <f>1+6+1</f>
        <v>8</v>
      </c>
      <c r="K23" s="12">
        <f>1+17+2+4</f>
        <v>24</v>
      </c>
      <c r="L23" s="25">
        <v>7</v>
      </c>
      <c r="M23" s="31">
        <v>5</v>
      </c>
      <c r="N23" s="12">
        <v>9</v>
      </c>
      <c r="O23" s="13">
        <v>2</v>
      </c>
      <c r="P23" s="44">
        <f t="shared" si="0"/>
        <v>130</v>
      </c>
      <c r="Q23" s="12"/>
      <c r="R23" s="12"/>
      <c r="S23" s="13"/>
      <c r="T23" s="12"/>
      <c r="U23" s="12"/>
      <c r="V23" s="12"/>
      <c r="W23" s="12"/>
      <c r="X23" s="12"/>
      <c r="Y23" s="25"/>
      <c r="Z23" s="31"/>
      <c r="AA23" s="12"/>
      <c r="AB23" s="13"/>
      <c r="AC23" s="44">
        <f t="shared" si="1"/>
        <v>0</v>
      </c>
      <c r="AD23" s="12">
        <f>3+3</f>
        <v>6</v>
      </c>
      <c r="AE23" s="12">
        <f>2</f>
        <v>2</v>
      </c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44">
        <f t="shared" si="2"/>
        <v>8</v>
      </c>
    </row>
    <row r="24" spans="1:42" ht="30" customHeight="1" x14ac:dyDescent="0.25">
      <c r="A24" s="48">
        <v>21</v>
      </c>
      <c r="B24" s="49" t="s">
        <v>65</v>
      </c>
      <c r="C24" s="6" t="s">
        <v>63</v>
      </c>
      <c r="D24" s="12">
        <v>0</v>
      </c>
      <c r="E24" s="12">
        <v>1</v>
      </c>
      <c r="F24" s="13">
        <f>1</f>
        <v>1</v>
      </c>
      <c r="G24" s="12">
        <f>2</f>
        <v>2</v>
      </c>
      <c r="H24" s="12">
        <f>1</f>
        <v>1</v>
      </c>
      <c r="I24" s="12">
        <v>2</v>
      </c>
      <c r="J24" s="12">
        <v>0</v>
      </c>
      <c r="K24" s="12">
        <v>0</v>
      </c>
      <c r="L24" s="25">
        <v>1</v>
      </c>
      <c r="M24" s="31">
        <v>0</v>
      </c>
      <c r="N24" s="12">
        <v>0</v>
      </c>
      <c r="O24" s="13">
        <v>0</v>
      </c>
      <c r="P24" s="44">
        <f t="shared" si="0"/>
        <v>8</v>
      </c>
      <c r="Q24" s="12"/>
      <c r="R24" s="12"/>
      <c r="S24" s="13"/>
      <c r="T24" s="12"/>
      <c r="U24" s="12"/>
      <c r="V24" s="12"/>
      <c r="W24" s="12"/>
      <c r="X24" s="12"/>
      <c r="Y24" s="25"/>
      <c r="Z24" s="31"/>
      <c r="AA24" s="12"/>
      <c r="AB24" s="13"/>
      <c r="AC24" s="44">
        <f t="shared" si="1"/>
        <v>0</v>
      </c>
      <c r="AD24" s="12">
        <v>0</v>
      </c>
      <c r="AE24" s="12">
        <v>0</v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44">
        <f t="shared" si="2"/>
        <v>0</v>
      </c>
    </row>
    <row r="25" spans="1:42" ht="30" customHeight="1" x14ac:dyDescent="0.25">
      <c r="A25" s="48">
        <v>22</v>
      </c>
      <c r="B25" s="49" t="s">
        <v>66</v>
      </c>
      <c r="C25" s="6" t="s">
        <v>57</v>
      </c>
      <c r="D25" s="12">
        <v>7</v>
      </c>
      <c r="E25" s="12">
        <f>8+8</f>
        <v>16</v>
      </c>
      <c r="F25" s="13">
        <f>1+9</f>
        <v>10</v>
      </c>
      <c r="G25" s="12">
        <f>12</f>
        <v>12</v>
      </c>
      <c r="H25" s="12">
        <f>3+18</f>
        <v>21</v>
      </c>
      <c r="I25" s="12">
        <f>18</f>
        <v>18</v>
      </c>
      <c r="J25" s="12">
        <f>4+9</f>
        <v>13</v>
      </c>
      <c r="K25" s="12">
        <f>1+5</f>
        <v>6</v>
      </c>
      <c r="L25" s="25">
        <v>9</v>
      </c>
      <c r="M25" s="31">
        <v>13</v>
      </c>
      <c r="N25" s="12">
        <v>5</v>
      </c>
      <c r="O25" s="13">
        <v>4</v>
      </c>
      <c r="P25" s="44">
        <f t="shared" si="0"/>
        <v>134</v>
      </c>
      <c r="Q25" s="12"/>
      <c r="R25" s="12"/>
      <c r="S25" s="13"/>
      <c r="T25" s="12"/>
      <c r="U25" s="12"/>
      <c r="V25" s="12"/>
      <c r="W25" s="12"/>
      <c r="X25" s="12"/>
      <c r="Y25" s="25"/>
      <c r="Z25" s="31"/>
      <c r="AA25" s="12"/>
      <c r="AB25" s="13"/>
      <c r="AC25" s="44">
        <f t="shared" si="1"/>
        <v>0</v>
      </c>
      <c r="AD25" s="12">
        <f>12+2</f>
        <v>14</v>
      </c>
      <c r="AE25" s="12">
        <f>5+1</f>
        <v>6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44">
        <f t="shared" si="2"/>
        <v>20</v>
      </c>
    </row>
    <row r="26" spans="1:42" ht="30" customHeight="1" x14ac:dyDescent="0.25">
      <c r="A26" s="48">
        <v>23</v>
      </c>
      <c r="B26" s="49" t="s">
        <v>66</v>
      </c>
      <c r="C26" s="6" t="s">
        <v>58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25">
        <v>0</v>
      </c>
      <c r="M26" s="31">
        <v>0</v>
      </c>
      <c r="N26" s="12">
        <v>0</v>
      </c>
      <c r="O26" s="12">
        <v>0</v>
      </c>
      <c r="P26" s="44">
        <f t="shared" si="0"/>
        <v>0</v>
      </c>
      <c r="Q26" s="12"/>
      <c r="R26" s="12"/>
      <c r="S26" s="12"/>
      <c r="T26" s="12"/>
      <c r="U26" s="12"/>
      <c r="V26" s="12"/>
      <c r="W26" s="12"/>
      <c r="X26" s="12"/>
      <c r="Y26" s="25"/>
      <c r="Z26" s="31"/>
      <c r="AA26" s="12"/>
      <c r="AB26" s="12"/>
      <c r="AC26" s="44">
        <f t="shared" si="1"/>
        <v>0</v>
      </c>
      <c r="AD26" s="12">
        <v>0</v>
      </c>
      <c r="AE26" s="12">
        <v>0</v>
      </c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44">
        <f t="shared" si="2"/>
        <v>0</v>
      </c>
    </row>
    <row r="27" spans="1:42" ht="30" customHeight="1" x14ac:dyDescent="0.25">
      <c r="A27" s="48">
        <v>24</v>
      </c>
      <c r="B27" s="49" t="s">
        <v>66</v>
      </c>
      <c r="C27" s="6" t="s">
        <v>59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26">
        <v>0</v>
      </c>
      <c r="M27" s="31">
        <v>0</v>
      </c>
      <c r="N27" s="12">
        <v>0</v>
      </c>
      <c r="O27" s="12">
        <v>0</v>
      </c>
      <c r="P27" s="44">
        <f t="shared" si="0"/>
        <v>0</v>
      </c>
      <c r="Q27" s="12"/>
      <c r="R27" s="12"/>
      <c r="S27" s="12"/>
      <c r="T27" s="12"/>
      <c r="U27" s="12"/>
      <c r="V27" s="12"/>
      <c r="W27" s="12"/>
      <c r="X27" s="12"/>
      <c r="Y27" s="26"/>
      <c r="Z27" s="31"/>
      <c r="AA27" s="12"/>
      <c r="AB27" s="12"/>
      <c r="AC27" s="44">
        <f t="shared" si="1"/>
        <v>0</v>
      </c>
      <c r="AD27" s="12">
        <v>0</v>
      </c>
      <c r="AE27" s="12">
        <v>0</v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44">
        <f t="shared" si="2"/>
        <v>0</v>
      </c>
    </row>
    <row r="28" spans="1:42" ht="30" customHeight="1" x14ac:dyDescent="0.25">
      <c r="A28" s="48">
        <v>25</v>
      </c>
      <c r="B28" s="49" t="s">
        <v>66</v>
      </c>
      <c r="C28" s="6" t="s">
        <v>60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25">
        <v>0</v>
      </c>
      <c r="M28" s="31">
        <v>0</v>
      </c>
      <c r="N28" s="12">
        <v>0</v>
      </c>
      <c r="O28" s="12">
        <v>0</v>
      </c>
      <c r="P28" s="44">
        <f t="shared" si="0"/>
        <v>0</v>
      </c>
      <c r="Q28" s="12"/>
      <c r="R28" s="12"/>
      <c r="S28" s="12"/>
      <c r="T28" s="12"/>
      <c r="U28" s="12"/>
      <c r="V28" s="12"/>
      <c r="W28" s="12"/>
      <c r="X28" s="12"/>
      <c r="Y28" s="25"/>
      <c r="Z28" s="31"/>
      <c r="AA28" s="12"/>
      <c r="AB28" s="12"/>
      <c r="AC28" s="44">
        <f t="shared" si="1"/>
        <v>0</v>
      </c>
      <c r="AD28" s="12">
        <v>0</v>
      </c>
      <c r="AE28" s="12">
        <v>0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44">
        <f t="shared" si="2"/>
        <v>0</v>
      </c>
    </row>
    <row r="29" spans="1:42" ht="30" customHeight="1" x14ac:dyDescent="0.25">
      <c r="A29" s="48">
        <v>26</v>
      </c>
      <c r="B29" s="49" t="s">
        <v>66</v>
      </c>
      <c r="C29" s="6" t="s">
        <v>61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25">
        <v>0</v>
      </c>
      <c r="M29" s="31">
        <v>0</v>
      </c>
      <c r="N29" s="12">
        <v>0</v>
      </c>
      <c r="O29" s="12">
        <v>0</v>
      </c>
      <c r="P29" s="44">
        <f t="shared" si="0"/>
        <v>0</v>
      </c>
      <c r="Q29" s="12"/>
      <c r="R29" s="12"/>
      <c r="S29" s="12"/>
      <c r="T29" s="12"/>
      <c r="U29" s="12"/>
      <c r="V29" s="12"/>
      <c r="W29" s="12"/>
      <c r="X29" s="12"/>
      <c r="Y29" s="25"/>
      <c r="Z29" s="31"/>
      <c r="AA29" s="12"/>
      <c r="AB29" s="12"/>
      <c r="AC29" s="44">
        <f t="shared" si="1"/>
        <v>0</v>
      </c>
      <c r="AD29" s="12">
        <v>0</v>
      </c>
      <c r="AE29" s="12">
        <v>0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44">
        <f t="shared" si="2"/>
        <v>0</v>
      </c>
    </row>
    <row r="30" spans="1:42" ht="30" customHeight="1" x14ac:dyDescent="0.25">
      <c r="A30" s="48">
        <v>27</v>
      </c>
      <c r="B30" s="49" t="s">
        <v>66</v>
      </c>
      <c r="C30" s="6" t="s">
        <v>62</v>
      </c>
      <c r="D30" s="12">
        <v>4</v>
      </c>
      <c r="E30" s="12">
        <f>2+8+16</f>
        <v>26</v>
      </c>
      <c r="F30" s="13">
        <f>2+51</f>
        <v>53</v>
      </c>
      <c r="G30" s="12">
        <f>2+6+8</f>
        <v>16</v>
      </c>
      <c r="H30" s="12">
        <f>1+10</f>
        <v>11</v>
      </c>
      <c r="I30" s="12">
        <f>35+3+7</f>
        <v>45</v>
      </c>
      <c r="J30" s="12">
        <f>1+5</f>
        <v>6</v>
      </c>
      <c r="K30" s="12">
        <f>3+11+21</f>
        <v>35</v>
      </c>
      <c r="L30" s="25">
        <v>5</v>
      </c>
      <c r="M30" s="31">
        <v>7</v>
      </c>
      <c r="N30" s="12">
        <v>7</v>
      </c>
      <c r="O30" s="13">
        <v>4</v>
      </c>
      <c r="P30" s="44">
        <f t="shared" si="0"/>
        <v>219</v>
      </c>
      <c r="Q30" s="12"/>
      <c r="R30" s="12"/>
      <c r="S30" s="13"/>
      <c r="T30" s="12"/>
      <c r="U30" s="12"/>
      <c r="V30" s="12"/>
      <c r="W30" s="12"/>
      <c r="X30" s="12"/>
      <c r="Y30" s="25"/>
      <c r="Z30" s="31"/>
      <c r="AA30" s="12"/>
      <c r="AB30" s="13"/>
      <c r="AC30" s="44">
        <f t="shared" si="1"/>
        <v>0</v>
      </c>
      <c r="AD30" s="12">
        <f>1+3+2</f>
        <v>6</v>
      </c>
      <c r="AE30" s="12">
        <f>3+1</f>
        <v>4</v>
      </c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44">
        <f t="shared" si="2"/>
        <v>10</v>
      </c>
    </row>
    <row r="31" spans="1:42" ht="30" customHeight="1" x14ac:dyDescent="0.25">
      <c r="A31" s="48">
        <v>28</v>
      </c>
      <c r="B31" s="49" t="s">
        <v>66</v>
      </c>
      <c r="C31" s="6" t="s">
        <v>63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25">
        <v>0</v>
      </c>
      <c r="M31" s="31">
        <v>0</v>
      </c>
      <c r="N31" s="12">
        <v>0</v>
      </c>
      <c r="O31" s="13">
        <v>0</v>
      </c>
      <c r="P31" s="44">
        <f t="shared" si="0"/>
        <v>0</v>
      </c>
      <c r="Q31" s="12"/>
      <c r="R31" s="12"/>
      <c r="S31" s="12"/>
      <c r="T31" s="12"/>
      <c r="U31" s="12"/>
      <c r="V31" s="12"/>
      <c r="W31" s="12"/>
      <c r="X31" s="12"/>
      <c r="Y31" s="25"/>
      <c r="Z31" s="31"/>
      <c r="AA31" s="12"/>
      <c r="AB31" s="13"/>
      <c r="AC31" s="44">
        <f t="shared" si="1"/>
        <v>0</v>
      </c>
      <c r="AD31" s="12">
        <v>0</v>
      </c>
      <c r="AE31" s="12">
        <v>0</v>
      </c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44">
        <f t="shared" si="2"/>
        <v>0</v>
      </c>
    </row>
    <row r="32" spans="1:42" ht="30" customHeight="1" x14ac:dyDescent="0.25">
      <c r="A32" s="48">
        <v>29</v>
      </c>
      <c r="B32" s="49" t="s">
        <v>67</v>
      </c>
      <c r="C32" s="6" t="s">
        <v>68</v>
      </c>
      <c r="D32" s="12">
        <v>21</v>
      </c>
      <c r="E32" s="12">
        <f>1+5</f>
        <v>6</v>
      </c>
      <c r="F32" s="13">
        <f>46+2</f>
        <v>48</v>
      </c>
      <c r="G32" s="12">
        <f>34</f>
        <v>34</v>
      </c>
      <c r="H32" s="12">
        <f>2+44</f>
        <v>46</v>
      </c>
      <c r="I32" s="12">
        <f>3+87</f>
        <v>90</v>
      </c>
      <c r="J32" s="12">
        <f>22+6</f>
        <v>28</v>
      </c>
      <c r="K32" s="12">
        <f>56+10</f>
        <v>66</v>
      </c>
      <c r="L32" s="25">
        <v>26</v>
      </c>
      <c r="M32" s="31">
        <v>37</v>
      </c>
      <c r="N32" s="12">
        <v>38</v>
      </c>
      <c r="O32" s="13">
        <v>61</v>
      </c>
      <c r="P32" s="44">
        <f t="shared" si="0"/>
        <v>501</v>
      </c>
      <c r="Q32" s="12"/>
      <c r="R32" s="12"/>
      <c r="S32" s="13"/>
      <c r="T32" s="12"/>
      <c r="U32" s="12"/>
      <c r="V32" s="12"/>
      <c r="W32" s="12"/>
      <c r="X32" s="12"/>
      <c r="Y32" s="25"/>
      <c r="Z32" s="31"/>
      <c r="AA32" s="12"/>
      <c r="AB32" s="13"/>
      <c r="AC32" s="44">
        <f t="shared" si="1"/>
        <v>0</v>
      </c>
      <c r="AD32" s="12">
        <v>26</v>
      </c>
      <c r="AE32" s="12">
        <v>96</v>
      </c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44">
        <f t="shared" si="2"/>
        <v>122</v>
      </c>
    </row>
    <row r="33" spans="1:42" ht="30" customHeight="1" x14ac:dyDescent="0.25">
      <c r="A33" s="48">
        <v>30</v>
      </c>
      <c r="B33" s="49" t="s">
        <v>67</v>
      </c>
      <c r="C33" s="6" t="s">
        <v>69</v>
      </c>
      <c r="D33" s="12">
        <v>6</v>
      </c>
      <c r="E33" s="12">
        <f>10</f>
        <v>10</v>
      </c>
      <c r="F33" s="13">
        <f>60</f>
        <v>60</v>
      </c>
      <c r="G33" s="12">
        <v>30</v>
      </c>
      <c r="H33" s="12">
        <f>44</f>
        <v>44</v>
      </c>
      <c r="I33" s="12">
        <f>33</f>
        <v>33</v>
      </c>
      <c r="J33" s="12">
        <f>29</f>
        <v>29</v>
      </c>
      <c r="K33" s="12">
        <v>20</v>
      </c>
      <c r="L33" s="25">
        <v>4</v>
      </c>
      <c r="M33" s="31">
        <v>13</v>
      </c>
      <c r="N33" s="12">
        <v>11</v>
      </c>
      <c r="O33" s="13">
        <v>26</v>
      </c>
      <c r="P33" s="44">
        <f t="shared" si="0"/>
        <v>286</v>
      </c>
      <c r="Q33" s="12"/>
      <c r="R33" s="12"/>
      <c r="S33" s="13"/>
      <c r="T33" s="12"/>
      <c r="U33" s="12"/>
      <c r="V33" s="12"/>
      <c r="W33" s="12"/>
      <c r="X33" s="12"/>
      <c r="Y33" s="25"/>
      <c r="Z33" s="31"/>
      <c r="AA33" s="12"/>
      <c r="AB33" s="13"/>
      <c r="AC33" s="44">
        <f t="shared" si="1"/>
        <v>0</v>
      </c>
      <c r="AD33" s="12">
        <v>16</v>
      </c>
      <c r="AE33" s="12">
        <v>27</v>
      </c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44">
        <f t="shared" si="2"/>
        <v>43</v>
      </c>
    </row>
    <row r="34" spans="1:42" ht="30" customHeight="1" x14ac:dyDescent="0.25">
      <c r="A34" s="48">
        <v>31</v>
      </c>
      <c r="B34" s="49" t="s">
        <v>67</v>
      </c>
      <c r="C34" s="6" t="s">
        <v>70</v>
      </c>
      <c r="D34" s="12">
        <v>114</v>
      </c>
      <c r="E34" s="12">
        <f>7+11+13+34+49+16</f>
        <v>130</v>
      </c>
      <c r="F34" s="13">
        <f>8+11+13+34+20+35</f>
        <v>121</v>
      </c>
      <c r="G34" s="12">
        <f>3+5+9+30+18+14+1</f>
        <v>80</v>
      </c>
      <c r="H34" s="12">
        <f>2+6+14+23+143+24</f>
        <v>212</v>
      </c>
      <c r="I34" s="12">
        <f>28+21+39+12+1+8</f>
        <v>109</v>
      </c>
      <c r="J34" s="12">
        <f>3+5+39+4+3+47+1</f>
        <v>102</v>
      </c>
      <c r="K34" s="12">
        <f>6+6+12+3+78+37</f>
        <v>142</v>
      </c>
      <c r="L34" s="25">
        <v>154</v>
      </c>
      <c r="M34" s="31">
        <v>135</v>
      </c>
      <c r="N34" s="12">
        <v>155</v>
      </c>
      <c r="O34" s="13">
        <v>61</v>
      </c>
      <c r="P34" s="44">
        <f t="shared" si="0"/>
        <v>1515</v>
      </c>
      <c r="Q34" s="12"/>
      <c r="R34" s="12"/>
      <c r="S34" s="13"/>
      <c r="T34" s="12"/>
      <c r="U34" s="12"/>
      <c r="V34" s="12"/>
      <c r="W34" s="12"/>
      <c r="X34" s="12"/>
      <c r="Y34" s="25"/>
      <c r="Z34" s="31"/>
      <c r="AA34" s="12"/>
      <c r="AB34" s="13"/>
      <c r="AC34" s="44">
        <f t="shared" si="1"/>
        <v>0</v>
      </c>
      <c r="AD34" s="12">
        <f>33+2+9+71+101</f>
        <v>216</v>
      </c>
      <c r="AE34" s="12">
        <f>18+25+4+1</f>
        <v>48</v>
      </c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44">
        <f t="shared" si="2"/>
        <v>264</v>
      </c>
    </row>
    <row r="35" spans="1:42" ht="30" customHeight="1" x14ac:dyDescent="0.25">
      <c r="A35" s="48">
        <v>32</v>
      </c>
      <c r="B35" s="49" t="s">
        <v>76</v>
      </c>
      <c r="C35" s="6" t="s">
        <v>77</v>
      </c>
      <c r="D35" s="12">
        <v>6</v>
      </c>
      <c r="E35" s="12">
        <v>920</v>
      </c>
      <c r="F35" s="12">
        <v>1186</v>
      </c>
      <c r="G35" s="12">
        <v>1028</v>
      </c>
      <c r="H35" s="12">
        <v>996</v>
      </c>
      <c r="I35" s="12">
        <v>951</v>
      </c>
      <c r="J35" s="13">
        <v>1119</v>
      </c>
      <c r="K35" s="12">
        <v>974</v>
      </c>
      <c r="L35" s="25">
        <v>888</v>
      </c>
      <c r="M35" s="31">
        <v>778</v>
      </c>
      <c r="N35" s="12" t="s">
        <v>102</v>
      </c>
      <c r="O35" s="12" t="s">
        <v>102</v>
      </c>
      <c r="P35" s="44">
        <f t="shared" si="0"/>
        <v>8846</v>
      </c>
      <c r="Q35" s="12"/>
      <c r="R35" s="12"/>
      <c r="S35" s="12"/>
      <c r="T35" s="12"/>
      <c r="U35" s="12"/>
      <c r="V35" s="12"/>
      <c r="W35" s="13"/>
      <c r="X35" s="12"/>
      <c r="Y35" s="25"/>
      <c r="Z35" s="31"/>
      <c r="AA35" s="12"/>
      <c r="AB35" s="12"/>
      <c r="AC35" s="44">
        <f t="shared" si="1"/>
        <v>0</v>
      </c>
      <c r="AD35" s="12">
        <v>0</v>
      </c>
      <c r="AE35" s="12">
        <v>0</v>
      </c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44">
        <f t="shared" si="2"/>
        <v>0</v>
      </c>
    </row>
    <row r="36" spans="1:42" ht="30" customHeight="1" x14ac:dyDescent="0.25">
      <c r="A36" s="48">
        <v>33</v>
      </c>
      <c r="B36" s="49"/>
      <c r="C36" s="6" t="s">
        <v>78</v>
      </c>
      <c r="D36" s="12">
        <v>3</v>
      </c>
      <c r="E36" s="12">
        <v>420</v>
      </c>
      <c r="F36" s="12">
        <v>514</v>
      </c>
      <c r="G36" s="12">
        <v>428</v>
      </c>
      <c r="H36" s="12">
        <v>377</v>
      </c>
      <c r="I36" s="12">
        <v>308</v>
      </c>
      <c r="J36" s="13">
        <v>236</v>
      </c>
      <c r="K36" s="12">
        <v>222</v>
      </c>
      <c r="L36" s="25">
        <v>197</v>
      </c>
      <c r="M36" s="31">
        <v>203</v>
      </c>
      <c r="N36" s="12" t="s">
        <v>102</v>
      </c>
      <c r="O36" s="12" t="s">
        <v>102</v>
      </c>
      <c r="P36" s="44">
        <f t="shared" si="0"/>
        <v>2908</v>
      </c>
      <c r="Q36" s="12"/>
      <c r="R36" s="12"/>
      <c r="S36" s="12"/>
      <c r="T36" s="12"/>
      <c r="U36" s="12"/>
      <c r="V36" s="12"/>
      <c r="W36" s="13"/>
      <c r="X36" s="12"/>
      <c r="Y36" s="25"/>
      <c r="Z36" s="31"/>
      <c r="AA36" s="12"/>
      <c r="AB36" s="12"/>
      <c r="AC36" s="44">
        <f t="shared" si="1"/>
        <v>0</v>
      </c>
      <c r="AD36" s="12">
        <v>0</v>
      </c>
      <c r="AE36" s="12">
        <v>0</v>
      </c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44">
        <f t="shared" si="2"/>
        <v>0</v>
      </c>
    </row>
    <row r="37" spans="1:42" ht="30" customHeight="1" x14ac:dyDescent="0.25">
      <c r="A37" s="48">
        <v>34</v>
      </c>
      <c r="B37" s="49" t="s">
        <v>79</v>
      </c>
      <c r="C37" s="6" t="s">
        <v>80</v>
      </c>
      <c r="D37" s="12">
        <v>81</v>
      </c>
      <c r="E37" s="12" t="s">
        <v>102</v>
      </c>
      <c r="F37" s="12" t="s">
        <v>102</v>
      </c>
      <c r="G37" s="12" t="s">
        <v>102</v>
      </c>
      <c r="H37" s="12" t="s">
        <v>102</v>
      </c>
      <c r="I37" s="12" t="s">
        <v>102</v>
      </c>
      <c r="J37" s="12" t="s">
        <v>102</v>
      </c>
      <c r="K37" s="12" t="s">
        <v>102</v>
      </c>
      <c r="L37" s="25" t="s">
        <v>102</v>
      </c>
      <c r="M37" s="31" t="s">
        <v>102</v>
      </c>
      <c r="N37" s="12" t="s">
        <v>102</v>
      </c>
      <c r="O37" s="12" t="s">
        <v>102</v>
      </c>
      <c r="P37" s="44">
        <f t="shared" si="0"/>
        <v>81</v>
      </c>
      <c r="Q37" s="12"/>
      <c r="R37" s="12"/>
      <c r="S37" s="12"/>
      <c r="T37" s="12"/>
      <c r="U37" s="12"/>
      <c r="V37" s="12"/>
      <c r="W37" s="12"/>
      <c r="X37" s="12"/>
      <c r="Y37" s="25"/>
      <c r="Z37" s="31"/>
      <c r="AA37" s="12"/>
      <c r="AB37" s="12"/>
      <c r="AC37" s="44">
        <f t="shared" si="1"/>
        <v>0</v>
      </c>
      <c r="AD37" s="12">
        <f>82</f>
        <v>82</v>
      </c>
      <c r="AE37" s="12">
        <v>0</v>
      </c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44">
        <f t="shared" si="2"/>
        <v>82</v>
      </c>
    </row>
    <row r="38" spans="1:42" ht="30" customHeight="1" x14ac:dyDescent="0.25">
      <c r="A38" s="48">
        <v>35</v>
      </c>
      <c r="B38" s="49" t="s">
        <v>79</v>
      </c>
      <c r="C38" s="6" t="s">
        <v>81</v>
      </c>
      <c r="D38" s="12">
        <v>4</v>
      </c>
      <c r="E38" s="12">
        <f>SUM(E35:E37)</f>
        <v>1340</v>
      </c>
      <c r="F38" s="12">
        <f>SUM(F35:F37)</f>
        <v>1700</v>
      </c>
      <c r="G38" s="12">
        <f>SUM(G35:G37)</f>
        <v>1456</v>
      </c>
      <c r="H38" s="12">
        <f t="shared" ref="H38:K38" si="3">SUM(H35:H37)</f>
        <v>1373</v>
      </c>
      <c r="I38" s="12">
        <f t="shared" si="3"/>
        <v>1259</v>
      </c>
      <c r="J38" s="17">
        <f t="shared" si="3"/>
        <v>1355</v>
      </c>
      <c r="K38" s="17">
        <f t="shared" si="3"/>
        <v>1196</v>
      </c>
      <c r="L38" s="28">
        <v>1085</v>
      </c>
      <c r="M38" s="32">
        <v>981</v>
      </c>
      <c r="N38" s="12" t="s">
        <v>102</v>
      </c>
      <c r="O38" s="12" t="s">
        <v>102</v>
      </c>
      <c r="P38" s="44">
        <f t="shared" si="0"/>
        <v>11749</v>
      </c>
      <c r="Q38" s="12"/>
      <c r="R38" s="12"/>
      <c r="S38" s="12"/>
      <c r="T38" s="12"/>
      <c r="U38" s="12"/>
      <c r="V38" s="12"/>
      <c r="W38" s="17"/>
      <c r="X38" s="17"/>
      <c r="Y38" s="28"/>
      <c r="Z38" s="32"/>
      <c r="AA38" s="12"/>
      <c r="AB38" s="12"/>
      <c r="AC38" s="44">
        <f t="shared" si="1"/>
        <v>0</v>
      </c>
      <c r="AD38" s="12">
        <f>10</f>
        <v>10</v>
      </c>
      <c r="AE38" s="12">
        <v>0</v>
      </c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44">
        <f t="shared" si="2"/>
        <v>10</v>
      </c>
    </row>
    <row r="39" spans="1:42" ht="30" customHeight="1" x14ac:dyDescent="0.25">
      <c r="A39" s="48">
        <v>36</v>
      </c>
      <c r="B39" s="49" t="s">
        <v>79</v>
      </c>
      <c r="C39" s="6" t="s">
        <v>82</v>
      </c>
      <c r="D39" s="9">
        <v>3</v>
      </c>
      <c r="E39" s="9">
        <v>75503.53</v>
      </c>
      <c r="F39" s="9">
        <v>102662.37</v>
      </c>
      <c r="G39" s="9">
        <v>128191.82</v>
      </c>
      <c r="H39" s="9">
        <v>79766.38</v>
      </c>
      <c r="I39" s="20">
        <v>37912.800000000003</v>
      </c>
      <c r="J39" s="9">
        <v>48687.22</v>
      </c>
      <c r="K39" s="20">
        <v>53883.199999999997</v>
      </c>
      <c r="L39" s="27">
        <v>15202.76</v>
      </c>
      <c r="M39" s="33">
        <v>20591.2</v>
      </c>
      <c r="N39" s="12" t="s">
        <v>102</v>
      </c>
      <c r="O39" s="12" t="s">
        <v>102</v>
      </c>
      <c r="P39" s="44">
        <f t="shared" si="0"/>
        <v>562404.27999999991</v>
      </c>
      <c r="Q39" s="9"/>
      <c r="R39" s="9"/>
      <c r="S39" s="9"/>
      <c r="T39" s="9"/>
      <c r="U39" s="9"/>
      <c r="V39" s="20"/>
      <c r="W39" s="9"/>
      <c r="X39" s="20"/>
      <c r="Y39" s="27"/>
      <c r="Z39" s="33"/>
      <c r="AA39" s="12"/>
      <c r="AB39" s="12"/>
      <c r="AC39" s="44">
        <f t="shared" si="1"/>
        <v>0</v>
      </c>
      <c r="AD39" s="12">
        <f>1</f>
        <v>1</v>
      </c>
      <c r="AE39" s="12">
        <v>0</v>
      </c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44">
        <f t="shared" si="2"/>
        <v>1</v>
      </c>
    </row>
    <row r="40" spans="1:42" ht="30" customHeight="1" x14ac:dyDescent="0.25">
      <c r="A40" s="48">
        <v>37</v>
      </c>
      <c r="B40" s="49" t="s">
        <v>79</v>
      </c>
      <c r="C40" s="6" t="s">
        <v>83</v>
      </c>
      <c r="D40" s="9">
        <v>1</v>
      </c>
      <c r="E40" s="9">
        <v>56928.81</v>
      </c>
      <c r="F40" s="9">
        <v>56008.58</v>
      </c>
      <c r="G40" s="9">
        <v>58409.38</v>
      </c>
      <c r="H40" s="9">
        <v>26171.84</v>
      </c>
      <c r="I40" s="20">
        <v>22324.04</v>
      </c>
      <c r="J40" s="9">
        <v>29347.02</v>
      </c>
      <c r="K40" s="20">
        <v>24209.64</v>
      </c>
      <c r="L40" s="27">
        <v>10391.76</v>
      </c>
      <c r="M40" s="33">
        <v>12219.94</v>
      </c>
      <c r="N40" s="12" t="s">
        <v>102</v>
      </c>
      <c r="O40" s="12" t="s">
        <v>102</v>
      </c>
      <c r="P40" s="44">
        <f t="shared" si="0"/>
        <v>296012.01</v>
      </c>
      <c r="Q40" s="9"/>
      <c r="R40" s="9"/>
      <c r="S40" s="9"/>
      <c r="T40" s="9"/>
      <c r="U40" s="9"/>
      <c r="V40" s="20"/>
      <c r="W40" s="9"/>
      <c r="X40" s="20"/>
      <c r="Y40" s="27"/>
      <c r="Z40" s="33"/>
      <c r="AA40" s="12"/>
      <c r="AB40" s="12"/>
      <c r="AC40" s="44">
        <f t="shared" si="1"/>
        <v>0</v>
      </c>
      <c r="AD40" s="12">
        <f>9</f>
        <v>9</v>
      </c>
      <c r="AE40" s="12">
        <v>0</v>
      </c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44">
        <f t="shared" si="2"/>
        <v>9</v>
      </c>
    </row>
  </sheetData>
  <mergeCells count="6">
    <mergeCell ref="AD1:AO1"/>
    <mergeCell ref="AD2:AO2"/>
    <mergeCell ref="D1:O1"/>
    <mergeCell ref="D2:O2"/>
    <mergeCell ref="Q1:AB1"/>
    <mergeCell ref="Q2:AB2"/>
  </mergeCells>
  <pageMargins left="0.23622047244094491" right="0.23622047244094491" top="0.74803149606299213" bottom="0.74803149606299213" header="0.31496062992125984" footer="0.31496062992125984"/>
  <pageSetup scale="5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"/>
  <sheetViews>
    <sheetView showGridLines="0" zoomScale="80" zoomScaleNormal="80" workbookViewId="0">
      <pane ySplit="3" topLeftCell="A4" activePane="bottomLeft" state="frozen"/>
      <selection pane="bottomLeft" activeCell="B21" sqref="B21"/>
    </sheetView>
  </sheetViews>
  <sheetFormatPr baseColWidth="10" defaultRowHeight="15" x14ac:dyDescent="0.25"/>
  <cols>
    <col min="1" max="1" width="5.5703125" customWidth="1"/>
    <col min="2" max="2" width="34.140625" customWidth="1"/>
    <col min="3" max="14" width="15.42578125" hidden="1" customWidth="1"/>
    <col min="15" max="15" width="0" hidden="1" customWidth="1"/>
    <col min="16" max="16" width="11.5703125" hidden="1" customWidth="1"/>
    <col min="17" max="17" width="13.5703125" hidden="1" customWidth="1"/>
    <col min="18" max="18" width="12" hidden="1" customWidth="1"/>
    <col min="19" max="19" width="10.7109375" hidden="1" customWidth="1"/>
    <col min="20" max="21" width="11.28515625" hidden="1" customWidth="1"/>
    <col min="22" max="22" width="10.7109375" hidden="1" customWidth="1"/>
    <col min="23" max="23" width="12.7109375" hidden="1" customWidth="1"/>
    <col min="24" max="24" width="17.42578125" hidden="1" customWidth="1"/>
    <col min="25" max="25" width="13.5703125" hidden="1" customWidth="1"/>
    <col min="26" max="26" width="16.5703125" hidden="1" customWidth="1"/>
    <col min="27" max="27" width="16" hidden="1" customWidth="1"/>
    <col min="28" max="28" width="11" hidden="1" customWidth="1"/>
    <col min="29" max="29" width="11.5703125" bestFit="1" customWidth="1"/>
    <col min="30" max="30" width="13.5703125" bestFit="1" customWidth="1"/>
    <col min="31" max="31" width="12" bestFit="1" customWidth="1"/>
    <col min="32" max="32" width="10.7109375" bestFit="1" customWidth="1"/>
    <col min="33" max="34" width="11.28515625" bestFit="1" customWidth="1"/>
    <col min="35" max="35" width="10.7109375" bestFit="1" customWidth="1"/>
    <col min="36" max="36" width="12.7109375" bestFit="1" customWidth="1"/>
    <col min="37" max="37" width="17.42578125" bestFit="1" customWidth="1"/>
    <col min="38" max="38" width="13.5703125" bestFit="1" customWidth="1"/>
    <col min="39" max="39" width="16.5703125" bestFit="1" customWidth="1"/>
    <col min="40" max="40" width="16" bestFit="1" customWidth="1"/>
    <col min="41" max="41" width="11" bestFit="1" customWidth="1"/>
  </cols>
  <sheetData>
    <row r="1" spans="1:41" s="4" customFormat="1" ht="29.25" customHeight="1" x14ac:dyDescent="0.25">
      <c r="C1" s="96" t="s">
        <v>99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102" t="s">
        <v>146</v>
      </c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</row>
    <row r="2" spans="1:41" s="4" customFormat="1" ht="29.25" customHeight="1" x14ac:dyDescent="0.25">
      <c r="C2" s="97" t="s">
        <v>14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</row>
    <row r="3" spans="1:41" ht="22.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111</v>
      </c>
      <c r="P3" s="42" t="s">
        <v>113</v>
      </c>
      <c r="Q3" s="42" t="s">
        <v>114</v>
      </c>
      <c r="R3" s="42" t="s">
        <v>115</v>
      </c>
      <c r="S3" s="42" t="s">
        <v>116</v>
      </c>
      <c r="T3" s="42" t="s">
        <v>117</v>
      </c>
      <c r="U3" s="42" t="s">
        <v>118</v>
      </c>
      <c r="V3" s="42" t="s">
        <v>119</v>
      </c>
      <c r="W3" s="42" t="s">
        <v>120</v>
      </c>
      <c r="X3" s="42" t="s">
        <v>121</v>
      </c>
      <c r="Y3" s="42" t="s">
        <v>122</v>
      </c>
      <c r="Z3" s="42" t="s">
        <v>123</v>
      </c>
      <c r="AA3" s="42" t="s">
        <v>124</v>
      </c>
      <c r="AB3" s="43" t="s">
        <v>112</v>
      </c>
      <c r="AC3" s="2" t="s">
        <v>133</v>
      </c>
      <c r="AD3" s="2" t="s">
        <v>134</v>
      </c>
      <c r="AE3" s="2" t="s">
        <v>135</v>
      </c>
      <c r="AF3" s="2" t="s">
        <v>136</v>
      </c>
      <c r="AG3" s="2" t="s">
        <v>137</v>
      </c>
      <c r="AH3" s="2" t="s">
        <v>138</v>
      </c>
      <c r="AI3" s="2" t="s">
        <v>139</v>
      </c>
      <c r="AJ3" s="2" t="s">
        <v>140</v>
      </c>
      <c r="AK3" s="2" t="s">
        <v>141</v>
      </c>
      <c r="AL3" s="2" t="s">
        <v>142</v>
      </c>
      <c r="AM3" s="2" t="s">
        <v>143</v>
      </c>
      <c r="AN3" s="2" t="s">
        <v>144</v>
      </c>
      <c r="AO3" s="1" t="s">
        <v>128</v>
      </c>
    </row>
    <row r="4" spans="1:41" ht="54.75" customHeight="1" x14ac:dyDescent="0.25">
      <c r="A4" s="5">
        <v>1</v>
      </c>
      <c r="B4" s="6" t="s">
        <v>84</v>
      </c>
      <c r="C4" s="12">
        <v>2</v>
      </c>
      <c r="D4" s="12">
        <v>6</v>
      </c>
      <c r="E4" s="12">
        <v>0</v>
      </c>
      <c r="F4" s="12">
        <v>11</v>
      </c>
      <c r="G4" s="19">
        <v>9</v>
      </c>
      <c r="H4" s="19">
        <v>1</v>
      </c>
      <c r="I4" s="19">
        <v>6</v>
      </c>
      <c r="J4" s="19">
        <v>4</v>
      </c>
      <c r="K4" s="12">
        <v>10</v>
      </c>
      <c r="L4" s="31">
        <v>0</v>
      </c>
      <c r="M4" s="12">
        <v>1</v>
      </c>
      <c r="N4" s="12">
        <v>4</v>
      </c>
      <c r="O4" s="44">
        <f t="shared" ref="O4" si="0">SUM(C4:N4)</f>
        <v>54</v>
      </c>
      <c r="P4" s="12"/>
      <c r="Q4" s="12"/>
      <c r="R4" s="12"/>
      <c r="S4" s="12"/>
      <c r="T4" s="19"/>
      <c r="U4" s="19"/>
      <c r="V4" s="19"/>
      <c r="W4" s="19"/>
      <c r="X4" s="12"/>
      <c r="Y4" s="31"/>
      <c r="Z4" s="12"/>
      <c r="AA4" s="12"/>
      <c r="AB4" s="44">
        <f t="shared" ref="AB4" si="1">SUM(P4:AA4)</f>
        <v>0</v>
      </c>
      <c r="AC4" s="12">
        <v>9</v>
      </c>
      <c r="AD4" s="12">
        <v>8</v>
      </c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44">
        <f t="shared" ref="AO4" si="2">SUM(AC4:AN4)</f>
        <v>17</v>
      </c>
    </row>
  </sheetData>
  <mergeCells count="3">
    <mergeCell ref="C1:N1"/>
    <mergeCell ref="C2:N2"/>
    <mergeCell ref="O1:AO2"/>
  </mergeCells>
  <pageMargins left="0.25" right="0.25" top="0.75" bottom="0.75" header="0.3" footer="0.3"/>
  <pageSetup scale="5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"/>
  <sheetViews>
    <sheetView showGridLines="0" zoomScale="80" zoomScaleNormal="80" workbookViewId="0">
      <pane ySplit="3" topLeftCell="A8" activePane="bottomLeft" state="frozen"/>
      <selection pane="bottomLeft" activeCell="AE23" sqref="AE23"/>
    </sheetView>
  </sheetViews>
  <sheetFormatPr baseColWidth="10" defaultRowHeight="15" x14ac:dyDescent="0.25"/>
  <cols>
    <col min="1" max="1" width="5.5703125" customWidth="1"/>
    <col min="2" max="2" width="16.7109375" customWidth="1"/>
    <col min="3" max="3" width="42.7109375" customWidth="1"/>
    <col min="4" max="15" width="15.42578125" hidden="1" customWidth="1"/>
    <col min="16" max="16" width="18.42578125" hidden="1" customWidth="1"/>
    <col min="17" max="28" width="15.42578125" hidden="1" customWidth="1"/>
    <col min="29" max="29" width="18.42578125" hidden="1" customWidth="1"/>
    <col min="30" max="30" width="15.42578125" bestFit="1" customWidth="1"/>
    <col min="31" max="31" width="15.140625" customWidth="1"/>
    <col min="32" max="41" width="15.42578125" bestFit="1" customWidth="1"/>
    <col min="42" max="42" width="18.42578125" customWidth="1"/>
  </cols>
  <sheetData>
    <row r="1" spans="1:42" s="4" customFormat="1" ht="29.25" customHeight="1" x14ac:dyDescent="0.25">
      <c r="D1" s="96" t="s">
        <v>42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Q1" s="96" t="s">
        <v>42</v>
      </c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D1" s="96" t="s">
        <v>42</v>
      </c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</row>
    <row r="2" spans="1:42" s="4" customFormat="1" ht="29.25" customHeight="1" x14ac:dyDescent="0.25">
      <c r="D2" s="97" t="s">
        <v>14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Q2" s="97" t="s">
        <v>110</v>
      </c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D2" s="97" t="s">
        <v>132</v>
      </c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</row>
    <row r="3" spans="1:42" ht="22.5" customHeight="1" x14ac:dyDescent="0.25">
      <c r="A3" s="1" t="s">
        <v>0</v>
      </c>
      <c r="B3" s="1" t="s">
        <v>15</v>
      </c>
      <c r="C3" s="1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" t="s">
        <v>111</v>
      </c>
      <c r="Q3" s="42" t="s">
        <v>113</v>
      </c>
      <c r="R3" s="42" t="s">
        <v>114</v>
      </c>
      <c r="S3" s="42" t="s">
        <v>115</v>
      </c>
      <c r="T3" s="42" t="s">
        <v>116</v>
      </c>
      <c r="U3" s="42" t="s">
        <v>117</v>
      </c>
      <c r="V3" s="42" t="s">
        <v>118</v>
      </c>
      <c r="W3" s="42" t="s">
        <v>119</v>
      </c>
      <c r="X3" s="42" t="s">
        <v>120</v>
      </c>
      <c r="Y3" s="42" t="s">
        <v>121</v>
      </c>
      <c r="Z3" s="42" t="s">
        <v>122</v>
      </c>
      <c r="AA3" s="42" t="s">
        <v>123</v>
      </c>
      <c r="AB3" s="42" t="s">
        <v>124</v>
      </c>
      <c r="AC3" s="43" t="s">
        <v>112</v>
      </c>
      <c r="AD3" s="2" t="s">
        <v>133</v>
      </c>
      <c r="AE3" s="2" t="s">
        <v>134</v>
      </c>
      <c r="AF3" s="2" t="s">
        <v>135</v>
      </c>
      <c r="AG3" s="2" t="s">
        <v>136</v>
      </c>
      <c r="AH3" s="2" t="s">
        <v>137</v>
      </c>
      <c r="AI3" s="2" t="s">
        <v>138</v>
      </c>
      <c r="AJ3" s="2" t="s">
        <v>139</v>
      </c>
      <c r="AK3" s="2" t="s">
        <v>140</v>
      </c>
      <c r="AL3" s="2" t="s">
        <v>141</v>
      </c>
      <c r="AM3" s="2" t="s">
        <v>142</v>
      </c>
      <c r="AN3" s="2" t="s">
        <v>143</v>
      </c>
      <c r="AO3" s="2" t="s">
        <v>144</v>
      </c>
      <c r="AP3" s="1" t="s">
        <v>128</v>
      </c>
    </row>
    <row r="4" spans="1:42" ht="78" customHeight="1" x14ac:dyDescent="0.25">
      <c r="A4" s="5">
        <v>1</v>
      </c>
      <c r="B4" s="7" t="s">
        <v>41</v>
      </c>
      <c r="C4" s="6" t="s">
        <v>16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21">
        <v>0</v>
      </c>
      <c r="K4" s="22">
        <v>0</v>
      </c>
      <c r="L4" s="3">
        <v>0</v>
      </c>
      <c r="M4" s="21">
        <v>0</v>
      </c>
      <c r="N4" s="3">
        <v>0</v>
      </c>
      <c r="O4" s="3">
        <v>0</v>
      </c>
      <c r="P4" s="44">
        <f>SUM(D4:O4)</f>
        <v>0</v>
      </c>
      <c r="Q4" s="3"/>
      <c r="R4" s="3"/>
      <c r="S4" s="3"/>
      <c r="T4" s="3"/>
      <c r="U4" s="3"/>
      <c r="V4" s="3"/>
      <c r="W4" s="21"/>
      <c r="X4" s="22"/>
      <c r="Y4" s="3"/>
      <c r="Z4" s="21"/>
      <c r="AA4" s="3"/>
      <c r="AB4" s="3"/>
      <c r="AC4" s="44">
        <f>SUM(Q4:AB4)</f>
        <v>0</v>
      </c>
      <c r="AD4" s="3">
        <v>92</v>
      </c>
      <c r="AE4" s="3">
        <v>92</v>
      </c>
      <c r="AF4" s="3"/>
      <c r="AG4" s="3"/>
      <c r="AH4" s="3"/>
      <c r="AI4" s="3"/>
      <c r="AJ4" s="3"/>
      <c r="AK4" s="3"/>
      <c r="AL4" s="3"/>
      <c r="AM4" s="3"/>
      <c r="AN4" s="3"/>
      <c r="AO4" s="3"/>
      <c r="AP4" s="44">
        <f>SUM(AD4:AO4)</f>
        <v>184</v>
      </c>
    </row>
    <row r="5" spans="1:42" ht="78" customHeight="1" x14ac:dyDescent="0.25">
      <c r="A5" s="5">
        <v>2</v>
      </c>
      <c r="B5" s="7" t="s">
        <v>41</v>
      </c>
      <c r="C5" s="6" t="s">
        <v>17</v>
      </c>
      <c r="D5" s="3">
        <v>0</v>
      </c>
      <c r="E5" s="3">
        <v>22</v>
      </c>
      <c r="F5" s="3">
        <v>20</v>
      </c>
      <c r="G5" s="3">
        <v>78</v>
      </c>
      <c r="H5" s="3">
        <v>77</v>
      </c>
      <c r="I5" s="3">
        <v>100</v>
      </c>
      <c r="J5" s="21">
        <v>10</v>
      </c>
      <c r="K5" s="22">
        <v>84</v>
      </c>
      <c r="L5" s="3">
        <v>224</v>
      </c>
      <c r="M5" s="21"/>
      <c r="N5" s="3">
        <v>438</v>
      </c>
      <c r="O5" s="3">
        <v>182</v>
      </c>
      <c r="P5" s="44">
        <f>SUM(D5:O5)</f>
        <v>1235</v>
      </c>
      <c r="Q5" s="3"/>
      <c r="R5" s="3"/>
      <c r="S5" s="3"/>
      <c r="T5" s="3"/>
      <c r="U5" s="3"/>
      <c r="V5" s="3"/>
      <c r="W5" s="21"/>
      <c r="X5" s="22"/>
      <c r="Y5" s="3"/>
      <c r="Z5" s="21"/>
      <c r="AA5" s="3"/>
      <c r="AB5" s="3"/>
      <c r="AC5" s="44">
        <f>SUM(Q5:AB5)</f>
        <v>0</v>
      </c>
      <c r="AD5" s="3">
        <v>102</v>
      </c>
      <c r="AE5" s="3">
        <v>222</v>
      </c>
      <c r="AF5" s="3"/>
      <c r="AG5" s="3"/>
      <c r="AH5" s="3"/>
      <c r="AI5" s="3"/>
      <c r="AJ5" s="3"/>
      <c r="AK5" s="3"/>
      <c r="AL5" s="3"/>
      <c r="AM5" s="3"/>
      <c r="AN5" s="3"/>
      <c r="AO5" s="3"/>
      <c r="AP5" s="44">
        <f>SUM(AD5:AO5)</f>
        <v>324</v>
      </c>
    </row>
    <row r="6" spans="1:42" ht="30" customHeight="1" x14ac:dyDescent="0.25">
      <c r="A6" s="5">
        <v>3</v>
      </c>
      <c r="B6" s="7" t="s">
        <v>41</v>
      </c>
      <c r="C6" s="6" t="s">
        <v>18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21">
        <v>0</v>
      </c>
      <c r="K6" s="22">
        <v>0</v>
      </c>
      <c r="L6" s="3">
        <v>0</v>
      </c>
      <c r="M6" s="21">
        <v>0</v>
      </c>
      <c r="N6" s="3">
        <v>0</v>
      </c>
      <c r="O6" s="3">
        <v>0</v>
      </c>
      <c r="P6" s="44">
        <f>SUM(D6:O6)</f>
        <v>0</v>
      </c>
      <c r="Q6" s="3"/>
      <c r="R6" s="3"/>
      <c r="S6" s="3"/>
      <c r="T6" s="3"/>
      <c r="U6" s="3"/>
      <c r="V6" s="3"/>
      <c r="W6" s="21"/>
      <c r="X6" s="22"/>
      <c r="Y6" s="3"/>
      <c r="Z6" s="21"/>
      <c r="AA6" s="3"/>
      <c r="AB6" s="3"/>
      <c r="AC6" s="44">
        <f>SUM(Q6:AB6)</f>
        <v>0</v>
      </c>
      <c r="AD6" s="3">
        <v>0</v>
      </c>
      <c r="AE6" s="3">
        <v>0</v>
      </c>
      <c r="AF6" s="3"/>
      <c r="AG6" s="3"/>
      <c r="AH6" s="3"/>
      <c r="AI6" s="3"/>
      <c r="AJ6" s="3"/>
      <c r="AK6" s="3"/>
      <c r="AL6" s="3"/>
      <c r="AM6" s="3"/>
      <c r="AN6" s="3"/>
      <c r="AO6" s="3"/>
      <c r="AP6" s="44">
        <f>SUM(AD6:AO6)</f>
        <v>0</v>
      </c>
    </row>
    <row r="7" spans="1:42" ht="30" customHeight="1" x14ac:dyDescent="0.25">
      <c r="A7" s="5">
        <v>4</v>
      </c>
      <c r="B7" s="7" t="s">
        <v>19</v>
      </c>
      <c r="C7" s="6" t="s">
        <v>20</v>
      </c>
      <c r="D7" s="3">
        <v>155</v>
      </c>
      <c r="E7" s="3">
        <v>140</v>
      </c>
      <c r="F7" s="3">
        <v>155</v>
      </c>
      <c r="G7" s="3">
        <v>150</v>
      </c>
      <c r="H7" s="3">
        <v>155</v>
      </c>
      <c r="I7" s="3">
        <v>150</v>
      </c>
      <c r="J7" s="21">
        <v>67</v>
      </c>
      <c r="K7" s="22">
        <v>831</v>
      </c>
      <c r="L7" s="3">
        <v>334</v>
      </c>
      <c r="M7" s="21">
        <v>339</v>
      </c>
      <c r="N7" s="3">
        <v>357</v>
      </c>
      <c r="O7" s="3">
        <v>408</v>
      </c>
      <c r="P7" s="44">
        <f>SUM(D7:O7)</f>
        <v>3241</v>
      </c>
      <c r="Q7" s="3"/>
      <c r="R7" s="3"/>
      <c r="S7" s="3"/>
      <c r="T7" s="3"/>
      <c r="U7" s="3"/>
      <c r="V7" s="3"/>
      <c r="W7" s="21"/>
      <c r="X7" s="22"/>
      <c r="Y7" s="3"/>
      <c r="Z7" s="21"/>
      <c r="AA7" s="3"/>
      <c r="AB7" s="3"/>
      <c r="AC7" s="44">
        <f>SUM(Q7:AB7)</f>
        <v>0</v>
      </c>
      <c r="AD7" s="3">
        <v>244</v>
      </c>
      <c r="AE7" s="3">
        <v>304</v>
      </c>
      <c r="AF7" s="3"/>
      <c r="AG7" s="3"/>
      <c r="AH7" s="3"/>
      <c r="AI7" s="3"/>
      <c r="AJ7" s="3"/>
      <c r="AK7" s="3"/>
      <c r="AL7" s="3"/>
      <c r="AM7" s="3"/>
      <c r="AN7" s="3"/>
      <c r="AO7" s="3"/>
      <c r="AP7" s="44">
        <f>SUM(AD7:AO7)</f>
        <v>548</v>
      </c>
    </row>
    <row r="8" spans="1:42" ht="30" customHeight="1" x14ac:dyDescent="0.25">
      <c r="A8" s="5">
        <v>5</v>
      </c>
      <c r="B8" s="7" t="s">
        <v>19</v>
      </c>
      <c r="C8" s="6" t="s">
        <v>21</v>
      </c>
      <c r="D8" s="3">
        <v>31</v>
      </c>
      <c r="E8" s="3">
        <v>28</v>
      </c>
      <c r="F8" s="3">
        <v>31</v>
      </c>
      <c r="G8" s="3">
        <v>30</v>
      </c>
      <c r="H8" s="3">
        <v>31</v>
      </c>
      <c r="I8" s="3">
        <v>30</v>
      </c>
      <c r="J8" s="21">
        <v>17</v>
      </c>
      <c r="K8" s="22">
        <v>84</v>
      </c>
      <c r="L8" s="3"/>
      <c r="M8" s="21">
        <v>69</v>
      </c>
      <c r="N8" s="3">
        <v>103</v>
      </c>
      <c r="O8" s="3">
        <v>58</v>
      </c>
      <c r="P8" s="44">
        <f t="shared" ref="P8:P24" si="0">SUM(D8:O8)</f>
        <v>512</v>
      </c>
      <c r="Q8" s="3"/>
      <c r="R8" s="3"/>
      <c r="S8" s="3"/>
      <c r="T8" s="3"/>
      <c r="U8" s="3"/>
      <c r="V8" s="3"/>
      <c r="W8" s="21"/>
      <c r="X8" s="22"/>
      <c r="Y8" s="3"/>
      <c r="Z8" s="21"/>
      <c r="AA8" s="3"/>
      <c r="AB8" s="3"/>
      <c r="AC8" s="44">
        <f t="shared" ref="AC8:AC15" si="1">SUM(Q8:AB8)</f>
        <v>0</v>
      </c>
      <c r="AD8" s="3">
        <v>31</v>
      </c>
      <c r="AE8" s="3">
        <v>0</v>
      </c>
      <c r="AF8" s="3"/>
      <c r="AG8" s="3"/>
      <c r="AH8" s="3"/>
      <c r="AI8" s="3"/>
      <c r="AJ8" s="3"/>
      <c r="AK8" s="3"/>
      <c r="AL8" s="3"/>
      <c r="AM8" s="3"/>
      <c r="AN8" s="3"/>
      <c r="AO8" s="3"/>
      <c r="AP8" s="44">
        <f t="shared" ref="AP8:AP15" si="2">SUM(AD8:AO8)</f>
        <v>31</v>
      </c>
    </row>
    <row r="9" spans="1:42" ht="30" customHeight="1" x14ac:dyDescent="0.25">
      <c r="A9" s="5">
        <v>6</v>
      </c>
      <c r="B9" s="7" t="s">
        <v>19</v>
      </c>
      <c r="C9" s="6" t="s">
        <v>22</v>
      </c>
      <c r="D9" s="3">
        <f>SUM(D7:D8)</f>
        <v>186</v>
      </c>
      <c r="E9" s="3">
        <f t="shared" ref="E9:I9" si="3">SUM(E7:E8)</f>
        <v>168</v>
      </c>
      <c r="F9" s="3">
        <f t="shared" si="3"/>
        <v>186</v>
      </c>
      <c r="G9" s="3">
        <f t="shared" si="3"/>
        <v>180</v>
      </c>
      <c r="H9" s="3">
        <f t="shared" si="3"/>
        <v>186</v>
      </c>
      <c r="I9" s="3">
        <f t="shared" si="3"/>
        <v>180</v>
      </c>
      <c r="J9" s="21">
        <v>84</v>
      </c>
      <c r="K9" s="22">
        <v>915</v>
      </c>
      <c r="L9" s="3">
        <v>334</v>
      </c>
      <c r="M9" s="21">
        <v>408</v>
      </c>
      <c r="N9" s="3">
        <v>460</v>
      </c>
      <c r="O9" s="3">
        <v>466</v>
      </c>
      <c r="P9" s="44">
        <f t="shared" si="0"/>
        <v>3753</v>
      </c>
      <c r="Q9" s="3"/>
      <c r="R9" s="3"/>
      <c r="S9" s="3"/>
      <c r="T9" s="3"/>
      <c r="U9" s="3"/>
      <c r="V9" s="3"/>
      <c r="W9" s="21"/>
      <c r="X9" s="22"/>
      <c r="Y9" s="3"/>
      <c r="Z9" s="21"/>
      <c r="AA9" s="3"/>
      <c r="AB9" s="3"/>
      <c r="AC9" s="44">
        <f t="shared" si="1"/>
        <v>0</v>
      </c>
      <c r="AD9" s="3">
        <v>275</v>
      </c>
      <c r="AE9" s="3">
        <v>304</v>
      </c>
      <c r="AF9" s="3"/>
      <c r="AG9" s="3"/>
      <c r="AH9" s="3"/>
      <c r="AI9" s="3"/>
      <c r="AJ9" s="3"/>
      <c r="AK9" s="3"/>
      <c r="AL9" s="3"/>
      <c r="AM9" s="3"/>
      <c r="AN9" s="3"/>
      <c r="AO9" s="3"/>
      <c r="AP9" s="44">
        <f t="shared" si="2"/>
        <v>579</v>
      </c>
    </row>
    <row r="10" spans="1:42" ht="30" customHeight="1" x14ac:dyDescent="0.25">
      <c r="A10" s="5">
        <v>7</v>
      </c>
      <c r="B10" s="7" t="s">
        <v>23</v>
      </c>
      <c r="C10" s="6" t="s">
        <v>24</v>
      </c>
      <c r="D10" s="3">
        <v>1086</v>
      </c>
      <c r="E10" s="3">
        <v>851</v>
      </c>
      <c r="F10" s="3">
        <v>567</v>
      </c>
      <c r="G10" s="3">
        <v>836</v>
      </c>
      <c r="H10" s="3">
        <v>863</v>
      </c>
      <c r="I10" s="3">
        <v>1059</v>
      </c>
      <c r="J10" s="21">
        <v>77</v>
      </c>
      <c r="K10" s="22">
        <v>98</v>
      </c>
      <c r="L10" s="3">
        <v>89</v>
      </c>
      <c r="M10" s="21">
        <v>147</v>
      </c>
      <c r="N10" s="3">
        <v>107</v>
      </c>
      <c r="O10" s="3">
        <v>64</v>
      </c>
      <c r="P10" s="44">
        <f t="shared" si="0"/>
        <v>5844</v>
      </c>
      <c r="Q10" s="3"/>
      <c r="R10" s="3"/>
      <c r="S10" s="3"/>
      <c r="T10" s="3"/>
      <c r="U10" s="3"/>
      <c r="V10" s="3"/>
      <c r="W10" s="21"/>
      <c r="X10" s="22"/>
      <c r="Y10" s="3"/>
      <c r="Z10" s="21"/>
      <c r="AA10" s="3"/>
      <c r="AB10" s="3"/>
      <c r="AC10" s="44">
        <f t="shared" si="1"/>
        <v>0</v>
      </c>
      <c r="AD10" s="3">
        <v>609</v>
      </c>
      <c r="AE10" s="3">
        <v>752</v>
      </c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44">
        <f t="shared" si="2"/>
        <v>1361</v>
      </c>
    </row>
    <row r="11" spans="1:42" ht="30" customHeight="1" x14ac:dyDescent="0.25">
      <c r="A11" s="5">
        <v>8</v>
      </c>
      <c r="B11" s="7" t="s">
        <v>23</v>
      </c>
      <c r="C11" s="6" t="s">
        <v>25</v>
      </c>
      <c r="D11" s="3">
        <v>49</v>
      </c>
      <c r="E11" s="3">
        <v>96</v>
      </c>
      <c r="F11" s="3">
        <v>123</v>
      </c>
      <c r="G11" s="3">
        <v>76</v>
      </c>
      <c r="H11" s="3">
        <v>98</v>
      </c>
      <c r="I11" s="3">
        <v>89</v>
      </c>
      <c r="J11" s="21">
        <v>44</v>
      </c>
      <c r="K11" s="22">
        <v>78</v>
      </c>
      <c r="L11" s="3">
        <v>89</v>
      </c>
      <c r="M11" s="21">
        <v>147</v>
      </c>
      <c r="N11" s="3">
        <v>107</v>
      </c>
      <c r="O11" s="3">
        <v>64</v>
      </c>
      <c r="P11" s="44">
        <f t="shared" si="0"/>
        <v>1060</v>
      </c>
      <c r="Q11" s="3"/>
      <c r="R11" s="3"/>
      <c r="S11" s="3"/>
      <c r="T11" s="3"/>
      <c r="U11" s="3"/>
      <c r="V11" s="3"/>
      <c r="W11" s="21"/>
      <c r="X11" s="22"/>
      <c r="Y11" s="3"/>
      <c r="Z11" s="21"/>
      <c r="AA11" s="3"/>
      <c r="AB11" s="3"/>
      <c r="AC11" s="44">
        <f t="shared" si="1"/>
        <v>0</v>
      </c>
      <c r="AD11" s="3">
        <v>62</v>
      </c>
      <c r="AE11" s="3">
        <v>70</v>
      </c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44">
        <f t="shared" si="2"/>
        <v>132</v>
      </c>
    </row>
    <row r="12" spans="1:42" ht="30" customHeight="1" x14ac:dyDescent="0.25">
      <c r="A12" s="5">
        <v>9</v>
      </c>
      <c r="B12" s="7" t="s">
        <v>23</v>
      </c>
      <c r="C12" s="6" t="s">
        <v>26</v>
      </c>
      <c r="D12" s="3">
        <v>49</v>
      </c>
      <c r="E12" s="3">
        <v>96</v>
      </c>
      <c r="F12" s="3">
        <v>123</v>
      </c>
      <c r="G12" s="3">
        <v>76</v>
      </c>
      <c r="H12" s="3">
        <v>98</v>
      </c>
      <c r="I12" s="3">
        <v>89</v>
      </c>
      <c r="J12" s="21">
        <v>44</v>
      </c>
      <c r="K12" s="22">
        <v>78</v>
      </c>
      <c r="L12" s="3">
        <v>89</v>
      </c>
      <c r="M12" s="21">
        <v>147</v>
      </c>
      <c r="N12" s="3">
        <v>107</v>
      </c>
      <c r="O12" s="3">
        <v>64</v>
      </c>
      <c r="P12" s="44">
        <f t="shared" si="0"/>
        <v>1060</v>
      </c>
      <c r="Q12" s="3"/>
      <c r="R12" s="3"/>
      <c r="S12" s="3"/>
      <c r="T12" s="3"/>
      <c r="U12" s="3"/>
      <c r="V12" s="3"/>
      <c r="W12" s="21"/>
      <c r="X12" s="22"/>
      <c r="Y12" s="3"/>
      <c r="Z12" s="21"/>
      <c r="AA12" s="3"/>
      <c r="AB12" s="3"/>
      <c r="AC12" s="44">
        <f t="shared" si="1"/>
        <v>0</v>
      </c>
      <c r="AD12" s="3">
        <v>53</v>
      </c>
      <c r="AE12" s="3">
        <v>57</v>
      </c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44">
        <f t="shared" si="2"/>
        <v>110</v>
      </c>
    </row>
    <row r="13" spans="1:42" ht="36.75" customHeight="1" x14ac:dyDescent="0.25">
      <c r="A13" s="5">
        <v>10</v>
      </c>
      <c r="B13" s="8" t="s">
        <v>27</v>
      </c>
      <c r="C13" s="6" t="s">
        <v>28</v>
      </c>
      <c r="D13" s="3">
        <v>141</v>
      </c>
      <c r="E13" s="3">
        <v>137</v>
      </c>
      <c r="F13" s="3">
        <v>190</v>
      </c>
      <c r="G13" s="3">
        <v>207</v>
      </c>
      <c r="H13" s="3">
        <v>152</v>
      </c>
      <c r="I13" s="3">
        <v>172</v>
      </c>
      <c r="J13" s="21">
        <v>0</v>
      </c>
      <c r="K13" s="22">
        <v>0</v>
      </c>
      <c r="L13" s="3">
        <v>51</v>
      </c>
      <c r="M13" s="21">
        <v>67</v>
      </c>
      <c r="N13" s="3">
        <v>12</v>
      </c>
      <c r="O13" s="3">
        <v>64</v>
      </c>
      <c r="P13" s="44">
        <f t="shared" si="0"/>
        <v>1193</v>
      </c>
      <c r="Q13" s="3"/>
      <c r="R13" s="3"/>
      <c r="S13" s="3"/>
      <c r="T13" s="3"/>
      <c r="U13" s="3"/>
      <c r="V13" s="3"/>
      <c r="W13" s="21"/>
      <c r="X13" s="22"/>
      <c r="Y13" s="3"/>
      <c r="Z13" s="21"/>
      <c r="AA13" s="3"/>
      <c r="AB13" s="3"/>
      <c r="AC13" s="44">
        <f t="shared" si="1"/>
        <v>0</v>
      </c>
      <c r="AD13" s="3">
        <v>363</v>
      </c>
      <c r="AE13" s="3">
        <v>664</v>
      </c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44">
        <f t="shared" si="2"/>
        <v>1027</v>
      </c>
    </row>
    <row r="14" spans="1:42" ht="36.75" customHeight="1" x14ac:dyDescent="0.25">
      <c r="A14" s="5">
        <v>11</v>
      </c>
      <c r="B14" s="8" t="s">
        <v>27</v>
      </c>
      <c r="C14" s="6" t="s">
        <v>29</v>
      </c>
      <c r="D14" s="3">
        <v>0</v>
      </c>
      <c r="E14" s="3">
        <v>0</v>
      </c>
      <c r="F14" s="3">
        <v>9</v>
      </c>
      <c r="G14" s="3">
        <v>0</v>
      </c>
      <c r="H14" s="3">
        <v>0</v>
      </c>
      <c r="I14" s="3">
        <v>0</v>
      </c>
      <c r="J14" s="21">
        <v>0</v>
      </c>
      <c r="K14" s="22">
        <v>0</v>
      </c>
      <c r="L14" s="3">
        <v>0</v>
      </c>
      <c r="M14" s="21">
        <v>0</v>
      </c>
      <c r="N14" s="3">
        <v>0</v>
      </c>
      <c r="O14" s="3">
        <v>0</v>
      </c>
      <c r="P14" s="44">
        <f t="shared" si="0"/>
        <v>9</v>
      </c>
      <c r="Q14" s="3"/>
      <c r="R14" s="3"/>
      <c r="S14" s="3"/>
      <c r="T14" s="3"/>
      <c r="U14" s="3"/>
      <c r="V14" s="3"/>
      <c r="W14" s="21"/>
      <c r="X14" s="22"/>
      <c r="Y14" s="3"/>
      <c r="Z14" s="21"/>
      <c r="AA14" s="3"/>
      <c r="AB14" s="3"/>
      <c r="AC14" s="44">
        <f t="shared" si="1"/>
        <v>0</v>
      </c>
      <c r="AD14" s="3">
        <v>0</v>
      </c>
      <c r="AE14" s="3">
        <v>0</v>
      </c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44">
        <f t="shared" si="2"/>
        <v>0</v>
      </c>
    </row>
    <row r="15" spans="1:42" ht="36.75" customHeight="1" x14ac:dyDescent="0.25">
      <c r="A15" s="5">
        <v>12</v>
      </c>
      <c r="B15" s="8" t="s">
        <v>27</v>
      </c>
      <c r="C15" s="6" t="s">
        <v>30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21">
        <v>0</v>
      </c>
      <c r="K15" s="22">
        <v>0</v>
      </c>
      <c r="L15" s="3">
        <v>0</v>
      </c>
      <c r="M15" s="21">
        <v>0</v>
      </c>
      <c r="N15" s="3">
        <v>0</v>
      </c>
      <c r="O15" s="3">
        <v>0</v>
      </c>
      <c r="P15" s="44">
        <f t="shared" si="0"/>
        <v>0</v>
      </c>
      <c r="Q15" s="3"/>
      <c r="R15" s="3"/>
      <c r="S15" s="3"/>
      <c r="T15" s="3"/>
      <c r="U15" s="3"/>
      <c r="V15" s="3"/>
      <c r="W15" s="21"/>
      <c r="X15" s="22"/>
      <c r="Y15" s="3"/>
      <c r="Z15" s="21"/>
      <c r="AA15" s="3"/>
      <c r="AB15" s="3"/>
      <c r="AC15" s="44">
        <f t="shared" si="1"/>
        <v>0</v>
      </c>
      <c r="AD15" s="3">
        <v>0</v>
      </c>
      <c r="AE15" s="3">
        <v>0</v>
      </c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44">
        <f t="shared" si="2"/>
        <v>0</v>
      </c>
    </row>
    <row r="16" spans="1:42" ht="36.75" customHeight="1" x14ac:dyDescent="0.25">
      <c r="A16" s="5">
        <v>13</v>
      </c>
      <c r="B16" s="8" t="s">
        <v>27</v>
      </c>
      <c r="C16" s="6" t="s">
        <v>31</v>
      </c>
      <c r="D16" s="3">
        <v>750</v>
      </c>
      <c r="E16" s="3">
        <v>377</v>
      </c>
      <c r="F16" s="3">
        <v>434</v>
      </c>
      <c r="G16" s="3">
        <v>340</v>
      </c>
      <c r="H16" s="3">
        <v>416</v>
      </c>
      <c r="I16" s="3">
        <v>445</v>
      </c>
      <c r="J16" s="21">
        <v>68</v>
      </c>
      <c r="K16" s="22">
        <v>278</v>
      </c>
      <c r="L16" s="3">
        <v>161</v>
      </c>
      <c r="M16" s="21">
        <v>281</v>
      </c>
      <c r="N16" s="3">
        <v>431</v>
      </c>
      <c r="O16" s="3">
        <v>523</v>
      </c>
      <c r="P16" s="44">
        <f>SUM(D16:O16)</f>
        <v>4504</v>
      </c>
      <c r="Q16" s="3"/>
      <c r="R16" s="3"/>
      <c r="S16" s="3"/>
      <c r="T16" s="3"/>
      <c r="U16" s="3"/>
      <c r="V16" s="3"/>
      <c r="W16" s="21"/>
      <c r="X16" s="22"/>
      <c r="Y16" s="3"/>
      <c r="Z16" s="21"/>
      <c r="AA16" s="3"/>
      <c r="AB16" s="3"/>
      <c r="AC16" s="44">
        <f>SUM(Q16:AB16)</f>
        <v>0</v>
      </c>
      <c r="AD16" s="89">
        <v>0</v>
      </c>
      <c r="AE16" s="3">
        <v>274</v>
      </c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44">
        <f>SUM(AD16:AO16)</f>
        <v>274</v>
      </c>
    </row>
    <row r="17" spans="1:42" ht="30" customHeight="1" x14ac:dyDescent="0.25">
      <c r="A17" s="5">
        <v>14</v>
      </c>
      <c r="B17" s="7" t="s">
        <v>32</v>
      </c>
      <c r="C17" s="6" t="s">
        <v>33</v>
      </c>
      <c r="D17" s="9">
        <v>393163.04</v>
      </c>
      <c r="E17" s="9">
        <v>355881.77</v>
      </c>
      <c r="F17" s="9">
        <v>360724.2</v>
      </c>
      <c r="G17" s="9">
        <v>339656.4</v>
      </c>
      <c r="H17" s="9">
        <v>323684.08</v>
      </c>
      <c r="I17" s="9">
        <v>355658.72</v>
      </c>
      <c r="J17" s="23">
        <v>70646.100000000006</v>
      </c>
      <c r="K17" s="24">
        <v>506073.73</v>
      </c>
      <c r="L17" s="9">
        <v>338422.76</v>
      </c>
      <c r="M17" s="23">
        <v>558845.75</v>
      </c>
      <c r="N17" s="9">
        <v>431404.48</v>
      </c>
      <c r="O17" s="9">
        <v>950941.88</v>
      </c>
      <c r="P17" s="45">
        <f t="shared" si="0"/>
        <v>4985102.91</v>
      </c>
      <c r="Q17" s="9"/>
      <c r="R17" s="9"/>
      <c r="S17" s="9"/>
      <c r="T17" s="9"/>
      <c r="U17" s="9"/>
      <c r="V17" s="9"/>
      <c r="W17" s="23"/>
      <c r="X17" s="24"/>
      <c r="Y17" s="9"/>
      <c r="Z17" s="23"/>
      <c r="AA17" s="9"/>
      <c r="AB17" s="9"/>
      <c r="AC17" s="88">
        <f t="shared" ref="AC17:AC24" si="4">SUM(Q17:AB17)</f>
        <v>0</v>
      </c>
      <c r="AD17" s="91">
        <v>56563.97</v>
      </c>
      <c r="AE17" s="95">
        <v>64432.44</v>
      </c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84">
        <f>SUM(AD17,AE17,AF17,AG17,AH17,AI17,AJ17,AK17,AL17,AM17,AN17,AK17,AO17)</f>
        <v>120996.41</v>
      </c>
    </row>
    <row r="18" spans="1:42" ht="30" customHeight="1" x14ac:dyDescent="0.25">
      <c r="A18" s="5">
        <v>15</v>
      </c>
      <c r="B18" s="7" t="s">
        <v>32</v>
      </c>
      <c r="C18" s="6" t="s">
        <v>34</v>
      </c>
      <c r="D18" s="9">
        <v>38228.79</v>
      </c>
      <c r="E18" s="9">
        <v>25024.92</v>
      </c>
      <c r="F18" s="9">
        <v>27164.65</v>
      </c>
      <c r="G18" s="9">
        <v>21415.759999999998</v>
      </c>
      <c r="H18" s="9">
        <v>24743.13</v>
      </c>
      <c r="I18" s="9">
        <v>22346.85</v>
      </c>
      <c r="J18" s="23">
        <v>19553.52</v>
      </c>
      <c r="K18" s="24">
        <v>8729.25</v>
      </c>
      <c r="L18" s="9">
        <v>39743.019999999997</v>
      </c>
      <c r="M18" s="23">
        <v>109297.07</v>
      </c>
      <c r="N18" s="9">
        <v>20484.64</v>
      </c>
      <c r="O18" s="9">
        <v>24232.99</v>
      </c>
      <c r="P18" s="45">
        <f t="shared" si="0"/>
        <v>380964.58999999997</v>
      </c>
      <c r="Q18" s="9"/>
      <c r="R18" s="9"/>
      <c r="S18" s="9"/>
      <c r="T18" s="9"/>
      <c r="U18" s="9"/>
      <c r="V18" s="9"/>
      <c r="W18" s="23"/>
      <c r="X18" s="24"/>
      <c r="Y18" s="9"/>
      <c r="Z18" s="23"/>
      <c r="AA18" s="9"/>
      <c r="AB18" s="9"/>
      <c r="AC18" s="88">
        <f t="shared" si="4"/>
        <v>0</v>
      </c>
      <c r="AD18" s="91">
        <v>29420.55</v>
      </c>
      <c r="AE18" s="95">
        <v>35758.07</v>
      </c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84">
        <f t="shared" ref="AP18:AP23" si="5">SUM(AD18,AE18,AF18,AG18,AH18,AI18,AJ18,AK18,AL18,AM18,AN18,AK18,AO18)</f>
        <v>65178.619999999995</v>
      </c>
    </row>
    <row r="19" spans="1:42" ht="30" customHeight="1" x14ac:dyDescent="0.25">
      <c r="A19" s="5">
        <v>16</v>
      </c>
      <c r="B19" s="7" t="s">
        <v>32</v>
      </c>
      <c r="C19" s="6" t="s">
        <v>35</v>
      </c>
      <c r="D19" s="9">
        <v>24498.400000000001</v>
      </c>
      <c r="E19" s="9">
        <v>33102.15</v>
      </c>
      <c r="F19" s="9">
        <v>25404.21</v>
      </c>
      <c r="G19" s="9">
        <v>46697.56</v>
      </c>
      <c r="H19" s="9">
        <v>96671.23</v>
      </c>
      <c r="I19" s="9">
        <v>56053.82</v>
      </c>
      <c r="J19" s="23">
        <v>20528.2</v>
      </c>
      <c r="K19" s="24">
        <v>40763.97</v>
      </c>
      <c r="L19" s="9">
        <v>106539.43</v>
      </c>
      <c r="M19" s="23">
        <v>511671.01</v>
      </c>
      <c r="N19" s="9">
        <v>286012.18</v>
      </c>
      <c r="O19" s="9">
        <v>113269.52</v>
      </c>
      <c r="P19" s="45">
        <f t="shared" si="0"/>
        <v>1361211.68</v>
      </c>
      <c r="Q19" s="9"/>
      <c r="R19" s="9"/>
      <c r="S19" s="9"/>
      <c r="T19" s="9"/>
      <c r="U19" s="9"/>
      <c r="V19" s="9"/>
      <c r="W19" s="23"/>
      <c r="X19" s="24"/>
      <c r="Y19" s="9"/>
      <c r="Z19" s="23"/>
      <c r="AA19" s="9"/>
      <c r="AB19" s="9"/>
      <c r="AC19" s="88">
        <f t="shared" si="4"/>
        <v>0</v>
      </c>
      <c r="AD19" s="91">
        <v>17204.23</v>
      </c>
      <c r="AE19" s="95">
        <v>57255.83</v>
      </c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84">
        <f t="shared" si="5"/>
        <v>74460.06</v>
      </c>
    </row>
    <row r="20" spans="1:42" ht="30" customHeight="1" x14ac:dyDescent="0.25">
      <c r="A20" s="5">
        <v>17</v>
      </c>
      <c r="B20" s="7" t="s">
        <v>32</v>
      </c>
      <c r="C20" s="6" t="s">
        <v>36</v>
      </c>
      <c r="D20" s="9">
        <v>187006</v>
      </c>
      <c r="E20" s="9">
        <v>130596.28</v>
      </c>
      <c r="F20" s="9">
        <v>132943.56</v>
      </c>
      <c r="G20" s="9">
        <v>95354.22</v>
      </c>
      <c r="H20" s="9">
        <v>119675.1</v>
      </c>
      <c r="I20" s="9">
        <v>115176.54</v>
      </c>
      <c r="J20" s="23">
        <v>105745.78</v>
      </c>
      <c r="K20" s="24">
        <v>72890.759999999995</v>
      </c>
      <c r="L20" s="9">
        <v>165568.26</v>
      </c>
      <c r="M20" s="23">
        <v>323332.5</v>
      </c>
      <c r="N20" s="9">
        <v>94295.6</v>
      </c>
      <c r="O20" s="9">
        <v>124395.6</v>
      </c>
      <c r="P20" s="45">
        <f t="shared" si="0"/>
        <v>1666980.2000000002</v>
      </c>
      <c r="Q20" s="9"/>
      <c r="R20" s="9"/>
      <c r="S20" s="9"/>
      <c r="T20" s="9"/>
      <c r="U20" s="9"/>
      <c r="V20" s="9"/>
      <c r="W20" s="23"/>
      <c r="X20" s="24"/>
      <c r="Y20" s="9"/>
      <c r="Z20" s="23"/>
      <c r="AA20" s="9"/>
      <c r="AB20" s="9"/>
      <c r="AC20" s="88">
        <f t="shared" si="4"/>
        <v>0</v>
      </c>
      <c r="AD20" s="91">
        <v>172062.87</v>
      </c>
      <c r="AE20" s="95">
        <v>230718.36</v>
      </c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84">
        <f t="shared" si="5"/>
        <v>402781.23</v>
      </c>
    </row>
    <row r="21" spans="1:42" ht="30" customHeight="1" x14ac:dyDescent="0.25">
      <c r="A21" s="5">
        <v>18</v>
      </c>
      <c r="B21" s="7" t="s">
        <v>32</v>
      </c>
      <c r="C21" s="6" t="s">
        <v>37</v>
      </c>
      <c r="D21" s="9">
        <v>195328.21</v>
      </c>
      <c r="E21" s="9">
        <v>668110.96</v>
      </c>
      <c r="F21" s="9">
        <v>545341.1</v>
      </c>
      <c r="G21" s="9">
        <v>529732.4</v>
      </c>
      <c r="H21" s="9">
        <v>466421.16</v>
      </c>
      <c r="I21" s="9">
        <v>340120.8</v>
      </c>
      <c r="J21" s="23">
        <v>406173.8</v>
      </c>
      <c r="K21" s="24">
        <v>261375.8</v>
      </c>
      <c r="L21" s="9">
        <v>613243.80000000005</v>
      </c>
      <c r="M21" s="23">
        <v>408215.4</v>
      </c>
      <c r="N21" s="9">
        <v>20163.650000000001</v>
      </c>
      <c r="O21" s="9">
        <v>762943.4</v>
      </c>
      <c r="P21" s="45">
        <f t="shared" si="0"/>
        <v>5217170.4800000004</v>
      </c>
      <c r="Q21" s="9"/>
      <c r="R21" s="9"/>
      <c r="S21" s="9"/>
      <c r="T21" s="9"/>
      <c r="U21" s="9"/>
      <c r="V21" s="9"/>
      <c r="W21" s="23"/>
      <c r="X21" s="24"/>
      <c r="Y21" s="9"/>
      <c r="Z21" s="23"/>
      <c r="AA21" s="9"/>
      <c r="AB21" s="9"/>
      <c r="AC21" s="88">
        <f t="shared" si="4"/>
        <v>0</v>
      </c>
      <c r="AD21" s="91">
        <v>703252.66</v>
      </c>
      <c r="AE21" s="95">
        <v>486580.8</v>
      </c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84">
        <f t="shared" si="5"/>
        <v>1189833.46</v>
      </c>
    </row>
    <row r="22" spans="1:42" ht="30" customHeight="1" x14ac:dyDescent="0.25">
      <c r="A22" s="5">
        <v>19</v>
      </c>
      <c r="B22" s="7" t="s">
        <v>32</v>
      </c>
      <c r="C22" s="6" t="s">
        <v>38</v>
      </c>
      <c r="D22" s="9">
        <v>0</v>
      </c>
      <c r="E22" s="9">
        <v>0</v>
      </c>
      <c r="F22" s="9">
        <v>1482.8</v>
      </c>
      <c r="G22" s="9">
        <v>0</v>
      </c>
      <c r="H22" s="9">
        <v>6080.65</v>
      </c>
      <c r="I22" s="9">
        <v>0</v>
      </c>
      <c r="J22" s="21" t="s">
        <v>109</v>
      </c>
      <c r="K22" s="22" t="s">
        <v>109</v>
      </c>
      <c r="L22" s="9"/>
      <c r="M22" s="21" t="s">
        <v>109</v>
      </c>
      <c r="N22" s="9">
        <v>0</v>
      </c>
      <c r="O22" s="9">
        <v>0</v>
      </c>
      <c r="P22" s="45">
        <f t="shared" si="0"/>
        <v>7563.45</v>
      </c>
      <c r="Q22" s="9"/>
      <c r="R22" s="9"/>
      <c r="S22" s="9"/>
      <c r="T22" s="9"/>
      <c r="U22" s="9"/>
      <c r="V22" s="9"/>
      <c r="W22" s="21"/>
      <c r="X22" s="22"/>
      <c r="Y22" s="9"/>
      <c r="Z22" s="21"/>
      <c r="AA22" s="9"/>
      <c r="AB22" s="9"/>
      <c r="AC22" s="88">
        <f t="shared" si="4"/>
        <v>0</v>
      </c>
      <c r="AD22" s="91">
        <v>0</v>
      </c>
      <c r="AE22" s="91">
        <v>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84">
        <f t="shared" si="5"/>
        <v>0</v>
      </c>
    </row>
    <row r="23" spans="1:42" ht="30" customHeight="1" thickBot="1" x14ac:dyDescent="0.3">
      <c r="A23" s="5">
        <v>20</v>
      </c>
      <c r="B23" s="7" t="s">
        <v>32</v>
      </c>
      <c r="C23" s="6" t="s">
        <v>39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21" t="s">
        <v>109</v>
      </c>
      <c r="K23" s="22" t="s">
        <v>109</v>
      </c>
      <c r="L23" s="9"/>
      <c r="M23" s="21" t="s">
        <v>109</v>
      </c>
      <c r="N23" s="9">
        <v>0</v>
      </c>
      <c r="O23" s="9">
        <v>6365</v>
      </c>
      <c r="P23" s="45">
        <f t="shared" si="0"/>
        <v>6365</v>
      </c>
      <c r="Q23" s="9"/>
      <c r="R23" s="9"/>
      <c r="S23" s="9"/>
      <c r="T23" s="9"/>
      <c r="U23" s="9"/>
      <c r="V23" s="9"/>
      <c r="W23" s="21"/>
      <c r="X23" s="22"/>
      <c r="Y23" s="9"/>
      <c r="Z23" s="21"/>
      <c r="AA23" s="9"/>
      <c r="AB23" s="9"/>
      <c r="AC23" s="88">
        <f t="shared" si="4"/>
        <v>0</v>
      </c>
      <c r="AD23" s="91">
        <v>2880</v>
      </c>
      <c r="AE23" s="91">
        <v>2200</v>
      </c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84">
        <f t="shared" si="5"/>
        <v>5080</v>
      </c>
    </row>
    <row r="24" spans="1:42" ht="30" customHeight="1" thickBot="1" x14ac:dyDescent="0.3">
      <c r="A24" s="5">
        <v>22</v>
      </c>
      <c r="B24" s="7" t="s">
        <v>32</v>
      </c>
      <c r="C24" s="6" t="s">
        <v>40</v>
      </c>
      <c r="D24" s="9">
        <f t="shared" ref="D24:K24" si="6">SUM(D4:D23)</f>
        <v>840671.44</v>
      </c>
      <c r="E24" s="9">
        <f t="shared" si="6"/>
        <v>1214631.08</v>
      </c>
      <c r="F24" s="9">
        <f t="shared" si="6"/>
        <v>1094898.5200000003</v>
      </c>
      <c r="G24" s="9">
        <f t="shared" si="6"/>
        <v>1034829.3400000001</v>
      </c>
      <c r="H24" s="9">
        <f t="shared" si="6"/>
        <v>1039351.35</v>
      </c>
      <c r="I24" s="9">
        <f t="shared" si="6"/>
        <v>891670.73</v>
      </c>
      <c r="J24" s="9">
        <f t="shared" si="6"/>
        <v>623058.4</v>
      </c>
      <c r="K24" s="9">
        <f t="shared" si="6"/>
        <v>892279.51</v>
      </c>
      <c r="L24" s="9">
        <f>SUM(L4:L23)</f>
        <v>1264888.27</v>
      </c>
      <c r="M24" s="9">
        <f>SUM(M4:M23)</f>
        <v>1912966.73</v>
      </c>
      <c r="N24" s="9">
        <v>852360.55</v>
      </c>
      <c r="O24" s="9">
        <v>1982148.3900000001</v>
      </c>
      <c r="P24" s="45">
        <f t="shared" si="0"/>
        <v>13643754.310000001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45">
        <f t="shared" si="4"/>
        <v>0</v>
      </c>
      <c r="AD24" s="90">
        <f t="shared" ref="AD24:AH24" si="7">SUM(AD17+AD18+AD19+AD20+AD21+AD22+AD23)</f>
        <v>981384.28</v>
      </c>
      <c r="AE24" s="85">
        <f t="shared" si="7"/>
        <v>876945.5</v>
      </c>
      <c r="AF24" s="85">
        <f t="shared" si="7"/>
        <v>0</v>
      </c>
      <c r="AG24" s="85">
        <f t="shared" si="7"/>
        <v>0</v>
      </c>
      <c r="AH24" s="85">
        <f t="shared" si="7"/>
        <v>0</v>
      </c>
      <c r="AI24" s="45">
        <f>SUM(AI17+AI18+AI19+AI20+AI21+AI22+AI23)</f>
        <v>0</v>
      </c>
      <c r="AJ24" s="85">
        <f>SUM(AJ17+AJ18+AJ19+AJ20+AJ21+AJ22+AJ23)</f>
        <v>0</v>
      </c>
      <c r="AK24" s="85">
        <f>SUM(AK17+AK18+AK19+AK20+AK21+AK22+AK23)</f>
        <v>0</v>
      </c>
      <c r="AL24" s="45">
        <f>SUM(AL17+AL18+AL19+AL20+AL21+AL22+AL23)</f>
        <v>0</v>
      </c>
      <c r="AM24" s="87">
        <v>477286.61</v>
      </c>
      <c r="AN24" s="87">
        <v>1062366.1499999999</v>
      </c>
      <c r="AO24" s="86">
        <v>955939.02</v>
      </c>
      <c r="AP24" s="84">
        <f>SUM(AD24,AE24,AF24,AG24,AH24,AI24,AJ24,AK24,AL24,AM24,AN24,AK24,AO24)</f>
        <v>4353921.5600000005</v>
      </c>
    </row>
    <row r="25" spans="1:42" x14ac:dyDescent="0.25">
      <c r="P25" s="11"/>
    </row>
    <row r="27" spans="1:42" ht="33" customHeight="1" x14ac:dyDescent="0.25">
      <c r="C27" s="10" t="s">
        <v>43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42" ht="50.25" customHeight="1" x14ac:dyDescent="0.25">
      <c r="C28" s="103" t="s">
        <v>44</v>
      </c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AF28" s="86">
        <v>15091.23</v>
      </c>
    </row>
    <row r="29" spans="1:42" ht="70.5" customHeight="1" x14ac:dyDescent="0.25">
      <c r="C29" s="103" t="s">
        <v>45</v>
      </c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AF29" s="86">
        <v>0</v>
      </c>
    </row>
    <row r="30" spans="1:42" ht="46.5" customHeight="1" x14ac:dyDescent="0.25">
      <c r="C30" s="103" t="s">
        <v>46</v>
      </c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AF30" s="86" t="s">
        <v>131</v>
      </c>
    </row>
    <row r="31" spans="1:42" ht="46.5" customHeight="1" x14ac:dyDescent="0.25">
      <c r="C31" s="103" t="s">
        <v>47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AF31" s="86">
        <v>0</v>
      </c>
    </row>
    <row r="32" spans="1:42" x14ac:dyDescent="0.25">
      <c r="AF32" s="86">
        <v>660338.62</v>
      </c>
    </row>
    <row r="33" spans="32:32" x14ac:dyDescent="0.25">
      <c r="AF33" s="86">
        <v>0</v>
      </c>
    </row>
    <row r="34" spans="32:32" x14ac:dyDescent="0.25">
      <c r="AF34" s="36">
        <v>5226</v>
      </c>
    </row>
  </sheetData>
  <mergeCells count="10">
    <mergeCell ref="AD1:AO1"/>
    <mergeCell ref="AD2:AO2"/>
    <mergeCell ref="C31:Q31"/>
    <mergeCell ref="D1:O1"/>
    <mergeCell ref="D2:O2"/>
    <mergeCell ref="C28:Q28"/>
    <mergeCell ref="C29:Q29"/>
    <mergeCell ref="C30:Q30"/>
    <mergeCell ref="Q1:AB1"/>
    <mergeCell ref="Q2:AB2"/>
  </mergeCells>
  <pageMargins left="0.25" right="0.25" top="0.75" bottom="0.75" header="0.3" footer="0.3"/>
  <pageSetup scale="50" fitToHeight="0" orientation="landscape" r:id="rId1"/>
  <ignoredErrors>
    <ignoredError sqref="D9:F9 G9:I9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showGridLines="0" tabSelected="1" zoomScale="90" zoomScaleNormal="90" workbookViewId="0">
      <pane ySplit="3" topLeftCell="A4" activePane="bottomLeft" state="frozen"/>
      <selection pane="bottomLeft" activeCell="R15" sqref="R15"/>
    </sheetView>
  </sheetViews>
  <sheetFormatPr baseColWidth="10" defaultRowHeight="15" x14ac:dyDescent="0.25"/>
  <cols>
    <col min="1" max="1" width="5.5703125" customWidth="1"/>
    <col min="2" max="2" width="22.28515625" customWidth="1"/>
    <col min="3" max="3" width="34.140625" customWidth="1"/>
    <col min="4" max="15" width="15.42578125" hidden="1" customWidth="1"/>
    <col min="16" max="27" width="15.42578125" bestFit="1" customWidth="1"/>
  </cols>
  <sheetData>
    <row r="1" spans="1:28" s="4" customFormat="1" ht="29.25" customHeight="1" x14ac:dyDescent="0.25">
      <c r="D1" s="96" t="s">
        <v>129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 t="s">
        <v>98</v>
      </c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</row>
    <row r="2" spans="1:28" s="4" customFormat="1" ht="29.25" customHeight="1" x14ac:dyDescent="0.25">
      <c r="D2" s="97" t="s">
        <v>14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 t="s">
        <v>132</v>
      </c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1:28" ht="22.5" customHeight="1" x14ac:dyDescent="0.25">
      <c r="A3" s="1" t="s">
        <v>0</v>
      </c>
      <c r="B3" s="1" t="s">
        <v>15</v>
      </c>
      <c r="C3" s="1" t="s">
        <v>101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133</v>
      </c>
      <c r="Q3" s="2" t="s">
        <v>134</v>
      </c>
      <c r="R3" s="2" t="s">
        <v>135</v>
      </c>
      <c r="S3" s="2" t="s">
        <v>136</v>
      </c>
      <c r="T3" s="2" t="s">
        <v>137</v>
      </c>
      <c r="U3" s="2" t="s">
        <v>138</v>
      </c>
      <c r="V3" s="2" t="s">
        <v>139</v>
      </c>
      <c r="W3" s="2" t="s">
        <v>140</v>
      </c>
      <c r="X3" s="2" t="s">
        <v>141</v>
      </c>
      <c r="Y3" s="2" t="s">
        <v>142</v>
      </c>
      <c r="Z3" s="2" t="s">
        <v>143</v>
      </c>
      <c r="AA3" s="2" t="s">
        <v>144</v>
      </c>
      <c r="AB3" s="43" t="s">
        <v>128</v>
      </c>
    </row>
    <row r="4" spans="1:28" s="65" customFormat="1" ht="30" customHeight="1" x14ac:dyDescent="0.25">
      <c r="A4" s="7">
        <v>1</v>
      </c>
      <c r="B4" s="7" t="s">
        <v>71</v>
      </c>
      <c r="C4" s="6" t="s">
        <v>72</v>
      </c>
      <c r="D4" s="68">
        <v>867</v>
      </c>
      <c r="E4" s="68">
        <v>920</v>
      </c>
      <c r="F4" s="68">
        <v>1186</v>
      </c>
      <c r="G4" s="68">
        <v>1028</v>
      </c>
      <c r="H4" s="68">
        <v>996</v>
      </c>
      <c r="I4" s="68">
        <v>951</v>
      </c>
      <c r="J4" s="80">
        <v>1119</v>
      </c>
      <c r="K4" s="68">
        <v>974</v>
      </c>
      <c r="L4" s="79">
        <v>888</v>
      </c>
      <c r="M4" s="78">
        <v>778</v>
      </c>
      <c r="N4" s="68" t="s">
        <v>102</v>
      </c>
      <c r="O4" s="68" t="s">
        <v>102</v>
      </c>
      <c r="P4" s="92">
        <v>759</v>
      </c>
      <c r="Q4" s="94">
        <v>985</v>
      </c>
      <c r="R4" s="67"/>
      <c r="S4" s="67"/>
      <c r="T4" s="67"/>
      <c r="U4" s="67"/>
      <c r="V4" s="67"/>
      <c r="W4" s="67"/>
      <c r="X4" s="67"/>
      <c r="Y4" s="67"/>
      <c r="Z4" s="67"/>
      <c r="AA4" s="67"/>
      <c r="AB4" s="81">
        <f t="shared" ref="AB4:AB11" si="0">SUM(P4:AA4)</f>
        <v>1744</v>
      </c>
    </row>
    <row r="5" spans="1:28" s="65" customFormat="1" ht="30" customHeight="1" x14ac:dyDescent="0.25">
      <c r="A5" s="7">
        <v>2</v>
      </c>
      <c r="B5" s="7" t="s">
        <v>71</v>
      </c>
      <c r="C5" s="6" t="s">
        <v>73</v>
      </c>
      <c r="D5" s="68">
        <v>404</v>
      </c>
      <c r="E5" s="68">
        <v>420</v>
      </c>
      <c r="F5" s="68">
        <v>514</v>
      </c>
      <c r="G5" s="68">
        <v>428</v>
      </c>
      <c r="H5" s="68">
        <v>377</v>
      </c>
      <c r="I5" s="68">
        <v>308</v>
      </c>
      <c r="J5" s="80">
        <v>236</v>
      </c>
      <c r="K5" s="68">
        <v>222</v>
      </c>
      <c r="L5" s="79">
        <v>197</v>
      </c>
      <c r="M5" s="78">
        <v>203</v>
      </c>
      <c r="N5" s="68" t="s">
        <v>102</v>
      </c>
      <c r="O5" s="68" t="s">
        <v>102</v>
      </c>
      <c r="P5" s="92">
        <v>58</v>
      </c>
      <c r="Q5" s="94">
        <v>61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81">
        <f t="shared" si="0"/>
        <v>119</v>
      </c>
    </row>
    <row r="6" spans="1:28" s="65" customFormat="1" ht="30" customHeight="1" x14ac:dyDescent="0.25">
      <c r="A6" s="7">
        <v>3</v>
      </c>
      <c r="B6" s="7" t="s">
        <v>71</v>
      </c>
      <c r="C6" s="6" t="s">
        <v>74</v>
      </c>
      <c r="D6" s="68" t="s">
        <v>102</v>
      </c>
      <c r="E6" s="68" t="s">
        <v>102</v>
      </c>
      <c r="F6" s="68" t="s">
        <v>102</v>
      </c>
      <c r="G6" s="68" t="s">
        <v>102</v>
      </c>
      <c r="H6" s="68" t="s">
        <v>102</v>
      </c>
      <c r="I6" s="68" t="s">
        <v>102</v>
      </c>
      <c r="J6" s="68" t="s">
        <v>102</v>
      </c>
      <c r="K6" s="68" t="s">
        <v>102</v>
      </c>
      <c r="L6" s="79" t="s">
        <v>102</v>
      </c>
      <c r="M6" s="78" t="s">
        <v>102</v>
      </c>
      <c r="N6" s="68" t="s">
        <v>102</v>
      </c>
      <c r="O6" s="68" t="s">
        <v>102</v>
      </c>
      <c r="P6" s="92" t="s">
        <v>147</v>
      </c>
      <c r="Q6" s="92" t="s">
        <v>147</v>
      </c>
      <c r="R6" s="67"/>
      <c r="S6" s="67"/>
      <c r="T6" s="67"/>
      <c r="U6" s="67"/>
      <c r="V6" s="67"/>
      <c r="W6" s="67"/>
      <c r="X6" s="67"/>
      <c r="Y6" s="67"/>
      <c r="Z6" s="67"/>
      <c r="AA6" s="67"/>
      <c r="AB6" s="81">
        <f t="shared" si="0"/>
        <v>0</v>
      </c>
    </row>
    <row r="7" spans="1:28" s="65" customFormat="1" ht="30" customHeight="1" x14ac:dyDescent="0.25">
      <c r="A7" s="7">
        <v>4</v>
      </c>
      <c r="B7" s="7" t="s">
        <v>71</v>
      </c>
      <c r="C7" s="6" t="s">
        <v>75</v>
      </c>
      <c r="D7" s="68">
        <f t="shared" ref="D7:K7" si="1">SUM(D4:D6)</f>
        <v>1271</v>
      </c>
      <c r="E7" s="68">
        <f t="shared" si="1"/>
        <v>1340</v>
      </c>
      <c r="F7" s="68">
        <f t="shared" si="1"/>
        <v>1700</v>
      </c>
      <c r="G7" s="68">
        <f t="shared" si="1"/>
        <v>1456</v>
      </c>
      <c r="H7" s="68">
        <f t="shared" si="1"/>
        <v>1373</v>
      </c>
      <c r="I7" s="68">
        <f t="shared" si="1"/>
        <v>1259</v>
      </c>
      <c r="J7" s="77">
        <f t="shared" si="1"/>
        <v>1355</v>
      </c>
      <c r="K7" s="77">
        <f t="shared" si="1"/>
        <v>1196</v>
      </c>
      <c r="L7" s="76">
        <v>1085</v>
      </c>
      <c r="M7" s="75">
        <v>981</v>
      </c>
      <c r="N7" s="68" t="s">
        <v>102</v>
      </c>
      <c r="O7" s="68" t="s">
        <v>102</v>
      </c>
      <c r="P7" s="92">
        <f>SUM(P4:P5)</f>
        <v>817</v>
      </c>
      <c r="Q7" s="92">
        <f t="shared" ref="Q7" si="2">SUM(Q4:Q5)</f>
        <v>1046</v>
      </c>
      <c r="R7" s="67"/>
      <c r="S7" s="67"/>
      <c r="T7" s="67"/>
      <c r="U7" s="67"/>
      <c r="V7" s="67"/>
      <c r="W7" s="67"/>
      <c r="X7" s="67"/>
      <c r="Y7" s="67"/>
      <c r="Z7" s="67"/>
      <c r="AA7" s="67"/>
      <c r="AB7" s="81">
        <f t="shared" si="0"/>
        <v>1863</v>
      </c>
    </row>
    <row r="8" spans="1:28" s="65" customFormat="1" ht="30" customHeight="1" x14ac:dyDescent="0.25">
      <c r="A8" s="7">
        <v>5</v>
      </c>
      <c r="B8" s="7" t="s">
        <v>32</v>
      </c>
      <c r="C8" s="6" t="s">
        <v>72</v>
      </c>
      <c r="D8" s="71">
        <v>90426.89</v>
      </c>
      <c r="E8" s="71">
        <v>75503.53</v>
      </c>
      <c r="F8" s="71">
        <v>102662.37</v>
      </c>
      <c r="G8" s="71">
        <v>128191.82</v>
      </c>
      <c r="H8" s="71">
        <v>79766.38</v>
      </c>
      <c r="I8" s="74">
        <v>37912.800000000003</v>
      </c>
      <c r="J8" s="71">
        <v>48687.22</v>
      </c>
      <c r="K8" s="74">
        <v>53883.199999999997</v>
      </c>
      <c r="L8" s="73">
        <v>15202.76</v>
      </c>
      <c r="M8" s="72">
        <v>20591.2</v>
      </c>
      <c r="N8" s="68" t="s">
        <v>102</v>
      </c>
      <c r="O8" s="68" t="s">
        <v>102</v>
      </c>
      <c r="P8" s="93">
        <v>41807.699999999997</v>
      </c>
      <c r="Q8" s="93">
        <v>77727.179999999993</v>
      </c>
      <c r="R8" s="67"/>
      <c r="S8" s="67"/>
      <c r="T8" s="67"/>
      <c r="U8" s="67"/>
      <c r="V8" s="67"/>
      <c r="W8" s="67"/>
      <c r="X8" s="67"/>
      <c r="Y8" s="67"/>
      <c r="Z8" s="67"/>
      <c r="AA8" s="67"/>
      <c r="AB8" s="81">
        <f t="shared" si="0"/>
        <v>119534.87999999999</v>
      </c>
    </row>
    <row r="9" spans="1:28" s="65" customFormat="1" ht="30" customHeight="1" x14ac:dyDescent="0.25">
      <c r="A9" s="7">
        <v>6</v>
      </c>
      <c r="B9" s="7" t="s">
        <v>32</v>
      </c>
      <c r="C9" s="6" t="s">
        <v>73</v>
      </c>
      <c r="D9" s="71">
        <v>53233.42</v>
      </c>
      <c r="E9" s="71">
        <v>56928.81</v>
      </c>
      <c r="F9" s="71">
        <v>56008.58</v>
      </c>
      <c r="G9" s="71">
        <v>58409.38</v>
      </c>
      <c r="H9" s="71">
        <v>26171.84</v>
      </c>
      <c r="I9" s="74">
        <v>22324.04</v>
      </c>
      <c r="J9" s="71">
        <v>29347.02</v>
      </c>
      <c r="K9" s="74">
        <v>24209.64</v>
      </c>
      <c r="L9" s="73">
        <v>10391.76</v>
      </c>
      <c r="M9" s="72">
        <v>12219.94</v>
      </c>
      <c r="N9" s="68" t="s">
        <v>102</v>
      </c>
      <c r="O9" s="68" t="s">
        <v>102</v>
      </c>
      <c r="P9" s="93">
        <v>0</v>
      </c>
      <c r="Q9" s="93">
        <v>47518.8</v>
      </c>
      <c r="R9" s="67"/>
      <c r="S9" s="67"/>
      <c r="T9" s="67"/>
      <c r="U9" s="67"/>
      <c r="V9" s="67"/>
      <c r="W9" s="67"/>
      <c r="X9" s="67"/>
      <c r="Y9" s="67"/>
      <c r="Z9" s="67"/>
      <c r="AA9" s="67"/>
      <c r="AB9" s="81">
        <f t="shared" si="0"/>
        <v>47518.8</v>
      </c>
    </row>
    <row r="10" spans="1:28" s="65" customFormat="1" ht="30" customHeight="1" x14ac:dyDescent="0.25">
      <c r="A10" s="7">
        <v>7</v>
      </c>
      <c r="B10" s="7" t="s">
        <v>32</v>
      </c>
      <c r="C10" s="6" t="s">
        <v>74</v>
      </c>
      <c r="D10" s="71" t="s">
        <v>102</v>
      </c>
      <c r="E10" s="71" t="s">
        <v>102</v>
      </c>
      <c r="F10" s="71" t="s">
        <v>102</v>
      </c>
      <c r="G10" s="71" t="s">
        <v>102</v>
      </c>
      <c r="H10" s="71" t="s">
        <v>102</v>
      </c>
      <c r="I10" s="71" t="s">
        <v>102</v>
      </c>
      <c r="J10" s="71" t="s">
        <v>102</v>
      </c>
      <c r="K10" s="71" t="s">
        <v>102</v>
      </c>
      <c r="L10" s="70" t="s">
        <v>102</v>
      </c>
      <c r="M10" s="69" t="s">
        <v>102</v>
      </c>
      <c r="N10" s="68" t="s">
        <v>102</v>
      </c>
      <c r="O10" s="68" t="s">
        <v>102</v>
      </c>
      <c r="P10" s="93">
        <v>0</v>
      </c>
      <c r="Q10" s="93">
        <f t="shared" ref="Q10" si="3">SUM(E10:P10)</f>
        <v>0</v>
      </c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81">
        <f t="shared" si="0"/>
        <v>0</v>
      </c>
    </row>
    <row r="11" spans="1:28" s="65" customFormat="1" ht="30" customHeight="1" x14ac:dyDescent="0.25">
      <c r="A11" s="7">
        <v>8</v>
      </c>
      <c r="B11" s="7" t="s">
        <v>32</v>
      </c>
      <c r="C11" s="6" t="s">
        <v>75</v>
      </c>
      <c r="D11" s="71">
        <f t="shared" ref="D11:K11" si="4">SUM(D8:D10)</f>
        <v>143660.31</v>
      </c>
      <c r="E11" s="71">
        <f t="shared" si="4"/>
        <v>132432.34</v>
      </c>
      <c r="F11" s="71">
        <f t="shared" si="4"/>
        <v>158670.95000000001</v>
      </c>
      <c r="G11" s="71">
        <f t="shared" si="4"/>
        <v>186601.2</v>
      </c>
      <c r="H11" s="71">
        <f t="shared" si="4"/>
        <v>105938.22</v>
      </c>
      <c r="I11" s="71">
        <f t="shared" si="4"/>
        <v>60236.840000000004</v>
      </c>
      <c r="J11" s="71">
        <f t="shared" si="4"/>
        <v>78034.240000000005</v>
      </c>
      <c r="K11" s="71">
        <f t="shared" si="4"/>
        <v>78092.84</v>
      </c>
      <c r="L11" s="70">
        <v>25594.52</v>
      </c>
      <c r="M11" s="69">
        <v>32811.14</v>
      </c>
      <c r="N11" s="68" t="s">
        <v>102</v>
      </c>
      <c r="O11" s="68" t="s">
        <v>102</v>
      </c>
      <c r="P11" s="93">
        <f>SUM(P8:P10)</f>
        <v>41807.699999999997</v>
      </c>
      <c r="Q11" s="93">
        <f t="shared" ref="Q11" si="5">SUM(Q8:Q10)</f>
        <v>125245.98</v>
      </c>
      <c r="R11" s="83"/>
      <c r="S11" s="23"/>
      <c r="T11" s="83"/>
      <c r="U11" s="66"/>
      <c r="V11" s="66"/>
      <c r="W11" s="66"/>
      <c r="X11" s="66"/>
      <c r="Y11" s="66"/>
      <c r="Z11" s="66"/>
      <c r="AA11" s="66"/>
      <c r="AB11" s="81">
        <f t="shared" si="0"/>
        <v>167053.68</v>
      </c>
    </row>
  </sheetData>
  <mergeCells count="4">
    <mergeCell ref="D1:O1"/>
    <mergeCell ref="D2:O2"/>
    <mergeCell ref="P1:AA1"/>
    <mergeCell ref="P2:AA2"/>
  </mergeCells>
  <pageMargins left="0.23622047244094491" right="0.23622047244094491" top="0.74803149606299213" bottom="0.74803149606299213" header="0.31496062992125984" footer="0.31496062992125984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GAP</vt:lpstr>
      <vt:lpstr>GGAI(CAHA)</vt:lpstr>
      <vt:lpstr>CS</vt:lpstr>
      <vt:lpstr>AGR</vt:lpstr>
      <vt:lpstr>DAJ</vt:lpstr>
      <vt:lpstr>ALE</vt:lpstr>
      <vt:lpstr>COM</vt:lpstr>
      <vt:lpstr>JUC</vt:lpstr>
      <vt:lpstr>AGR!Área_de_impresión</vt:lpstr>
      <vt:lpstr>ALE!Área_de_impresión</vt:lpstr>
      <vt:lpstr>COM!Área_de_impresión</vt:lpstr>
      <vt:lpstr>CS!Área_de_impresión</vt:lpstr>
      <vt:lpstr>DAJ!Área_de_impresión</vt:lpstr>
      <vt:lpstr>GAP!Área_de_impresión</vt:lpstr>
      <vt:lpstr>JUC!Área_de_impresión</vt:lpstr>
      <vt:lpstr>DAJ!Títulos_a_imprimir</vt:lpstr>
      <vt:lpstr>JUC!Títulos_a_imprimir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David Alejandro Alvarez Sanchez</cp:lastModifiedBy>
  <cp:lastPrinted>2024-11-12T18:25:31Z</cp:lastPrinted>
  <dcterms:created xsi:type="dcterms:W3CDTF">2022-02-17T22:47:09Z</dcterms:created>
  <dcterms:modified xsi:type="dcterms:W3CDTF">2025-03-28T18:13:07Z</dcterms:modified>
</cp:coreProperties>
</file>